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balderton-my.sharepoint.com/personal/mlavner_balderton_com/Documents/Documents/3. Other projects/8. B2B Sales playbook/"/>
    </mc:Choice>
  </mc:AlternateContent>
  <xr:revisionPtr revIDLastSave="48" documentId="8_{56B4DBCE-6C46-4584-AA88-67A845665A8D}" xr6:coauthVersionLast="47" xr6:coauthVersionMax="47" xr10:uidLastSave="{ABF6F94D-C86A-4D8A-A58C-065BAADEFB97}"/>
  <bookViews>
    <workbookView xWindow="-120" yWindow="-120" windowWidth="29040" windowHeight="15720" tabRatio="652" xr2:uid="{04AD26AA-23D9-4C47-BE22-BF33016ECED3}"/>
  </bookViews>
  <sheets>
    <sheet name="README" sheetId="9" r:id="rId1"/>
    <sheet name="Weekly Sheet - simplified" sheetId="1" r:id="rId2"/>
    <sheet name="Weekly Sheet - advanced" sheetId="11" r:id="rId3"/>
    <sheet name="Marketing Funnel" sheetId="2" r:id="rId4"/>
    <sheet name="Marketing Channels" sheetId="3" r:id="rId5"/>
    <sheet name="Pipeline Progression" sheetId="6" r:id="rId6"/>
    <sheet name="Seller Ramp" sheetId="5" r:id="rId7"/>
    <sheet name="Sales Model" sheetId="4" r:id="rId8"/>
    <sheet name="Glideslope Planning" sheetId="7" r:id="rId9"/>
    <sheet name="QBR Metrics" sheetId="8" r:id="rId1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8">'Glideslope Planning'!$B$2:$P$28,'Glideslope Planning'!$R$4:$W$28</definedName>
    <definedName name="_xlnm.Print_Area" localSheetId="4">'Marketing Channels'!$B$2:$N$16,'Marketing Channels'!$P$5:$Z$16</definedName>
    <definedName name="_xlnm.Print_Area" localSheetId="3">'Marketing Funnel'!$B$2:$L$30,'Marketing Funnel'!$N$6:$AA$26</definedName>
    <definedName name="_xlnm.Print_Area" localSheetId="5">'Pipeline Progression'!$B$3:$Q$17,'Pipeline Progression'!$S$5:$AH$17</definedName>
    <definedName name="_xlnm.Print_Area" localSheetId="9">'QBR Metrics'!$B$2:$P$42,'QBR Metrics'!$R$8:$W$19</definedName>
    <definedName name="_xlnm.Print_Area" localSheetId="0">README!$B$3:$N$22</definedName>
    <definedName name="_xlnm.Print_Area" localSheetId="7">'Sales Model'!$B$2:$U$39,'Sales Model'!$W$3:$AP$39</definedName>
    <definedName name="_xlnm.Print_Area" localSheetId="6">'Seller Ramp'!$B$2:$P$29,'Seller Ramp'!$R$9:$AB$28</definedName>
    <definedName name="_xlnm.Print_Area" localSheetId="2">'Weekly Sheet - advanced'!$B$2:$AB$39,'Weekly Sheet - advanced'!$AD$5:$AV$33</definedName>
    <definedName name="_xlnm.Print_Area" localSheetId="1">'Weekly Sheet - simplified'!$B$2:$Z$31,'Weekly Sheet - simplified'!$AB$5:$AT$31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4" l="1"/>
  <c r="J28" i="11"/>
  <c r="K28" i="11"/>
  <c r="L28" i="11"/>
  <c r="M28" i="11"/>
  <c r="N28" i="11"/>
  <c r="I28" i="11"/>
  <c r="G28" i="11"/>
  <c r="G27" i="11"/>
  <c r="X23" i="11"/>
  <c r="G23" i="11"/>
  <c r="X22" i="11"/>
  <c r="G22" i="11"/>
  <c r="C18" i="11"/>
  <c r="C19" i="11" s="1"/>
  <c r="C20" i="11" s="1"/>
  <c r="C22" i="11" s="1"/>
  <c r="C23" i="11" s="1"/>
  <c r="G19" i="11"/>
  <c r="Q20" i="11" s="1"/>
  <c r="G17" i="11"/>
  <c r="P18" i="11" s="1"/>
  <c r="Q18" i="11" l="1"/>
  <c r="T18" i="11"/>
  <c r="R20" i="11"/>
  <c r="R18" i="11"/>
  <c r="S20" i="11"/>
  <c r="S18" i="11"/>
  <c r="T20" i="11"/>
  <c r="U20" i="11"/>
  <c r="U18" i="11"/>
  <c r="V20" i="11"/>
  <c r="V18" i="11"/>
  <c r="O20" i="11"/>
  <c r="O18" i="11"/>
  <c r="P20" i="11"/>
  <c r="C37" i="8" l="1"/>
  <c r="C39" i="8" s="1"/>
  <c r="C40" i="8" s="1"/>
  <c r="C41" i="8" s="1"/>
  <c r="G14" i="4" l="1"/>
  <c r="O28" i="5"/>
  <c r="J28" i="5"/>
  <c r="K28" i="5"/>
  <c r="L28" i="5"/>
  <c r="M28" i="5"/>
  <c r="N28" i="5"/>
  <c r="I28" i="5"/>
  <c r="N38" i="11" l="1"/>
  <c r="M38" i="11"/>
  <c r="L38" i="11"/>
  <c r="K38" i="11"/>
  <c r="J38" i="11"/>
  <c r="I38" i="11"/>
  <c r="X31" i="11"/>
  <c r="N27" i="11"/>
  <c r="M27" i="11"/>
  <c r="L27" i="11"/>
  <c r="K27" i="11"/>
  <c r="J27" i="11"/>
  <c r="I27" i="11"/>
  <c r="X19" i="11"/>
  <c r="X20" i="11" s="1"/>
  <c r="X17" i="11"/>
  <c r="X18" i="11" s="1"/>
  <c r="Y16" i="11"/>
  <c r="Y15" i="11"/>
  <c r="N14" i="11"/>
  <c r="M14" i="11"/>
  <c r="L14" i="11"/>
  <c r="K14" i="11"/>
  <c r="J14" i="11"/>
  <c r="I14" i="11"/>
  <c r="I22" i="11" s="1"/>
  <c r="Y13" i="11"/>
  <c r="Y12" i="11"/>
  <c r="N11" i="11"/>
  <c r="M11" i="11"/>
  <c r="M23" i="11" s="1"/>
  <c r="L11" i="11"/>
  <c r="L23" i="11" s="1"/>
  <c r="K11" i="11"/>
  <c r="K23" i="11" s="1"/>
  <c r="J11" i="11"/>
  <c r="I11" i="11"/>
  <c r="J10" i="11"/>
  <c r="K10" i="11" s="1"/>
  <c r="V25" i="1"/>
  <c r="V26" i="1" s="1"/>
  <c r="K22" i="11" l="1"/>
  <c r="J22" i="11"/>
  <c r="Y31" i="11"/>
  <c r="X32" i="11"/>
  <c r="Y32" i="11" s="1"/>
  <c r="J19" i="11"/>
  <c r="J20" i="11" s="1"/>
  <c r="J23" i="11"/>
  <c r="N19" i="11"/>
  <c r="N20" i="11" s="1"/>
  <c r="N23" i="11"/>
  <c r="I19" i="11"/>
  <c r="I20" i="11" s="1"/>
  <c r="I23" i="11"/>
  <c r="Y14" i="11"/>
  <c r="K19" i="11"/>
  <c r="K20" i="11" s="1"/>
  <c r="L19" i="11"/>
  <c r="L20" i="11" s="1"/>
  <c r="M19" i="11"/>
  <c r="M20" i="11" s="1"/>
  <c r="L10" i="11"/>
  <c r="M10" i="11" s="1"/>
  <c r="M17" i="11" s="1"/>
  <c r="M18" i="11" s="1"/>
  <c r="K17" i="11"/>
  <c r="K18" i="11" s="1"/>
  <c r="X33" i="11"/>
  <c r="J17" i="11"/>
  <c r="J18" i="11" s="1"/>
  <c r="W26" i="1"/>
  <c r="W25" i="1"/>
  <c r="Y11" i="11"/>
  <c r="I17" i="11"/>
  <c r="I18" i="11" s="1"/>
  <c r="H30" i="1"/>
  <c r="I30" i="1"/>
  <c r="J30" i="1"/>
  <c r="K30" i="1"/>
  <c r="L30" i="1"/>
  <c r="G30" i="1"/>
  <c r="H22" i="1"/>
  <c r="I22" i="1"/>
  <c r="G22" i="1"/>
  <c r="H10" i="1"/>
  <c r="I10" i="1" s="1"/>
  <c r="J10" i="1" s="1"/>
  <c r="K10" i="1" s="1"/>
  <c r="L10" i="1" s="1"/>
  <c r="E27" i="2"/>
  <c r="F27" i="2"/>
  <c r="H27" i="2"/>
  <c r="I27" i="2"/>
  <c r="W12" i="1"/>
  <c r="Y19" i="11" l="1"/>
  <c r="M22" i="11"/>
  <c r="N10" i="11"/>
  <c r="N22" i="11" s="1"/>
  <c r="L22" i="11"/>
  <c r="L17" i="11"/>
  <c r="L18" i="11" s="1"/>
  <c r="X34" i="11"/>
  <c r="Y34" i="11" s="1"/>
  <c r="Y33" i="11"/>
  <c r="N17" i="11"/>
  <c r="L22" i="1"/>
  <c r="K22" i="1"/>
  <c r="J22" i="1"/>
  <c r="G27" i="2"/>
  <c r="I33" i="8"/>
  <c r="I36" i="8" s="1"/>
  <c r="I37" i="8" s="1"/>
  <c r="H33" i="8"/>
  <c r="H36" i="8" s="1"/>
  <c r="H37" i="8" s="1"/>
  <c r="G33" i="8"/>
  <c r="G39" i="8" s="1"/>
  <c r="G40" i="8" s="1"/>
  <c r="G41" i="8" s="1"/>
  <c r="F33" i="8"/>
  <c r="F36" i="8" s="1"/>
  <c r="F37" i="8" s="1"/>
  <c r="E33" i="8"/>
  <c r="E39" i="8" s="1"/>
  <c r="E40" i="8" s="1"/>
  <c r="E41" i="8" s="1"/>
  <c r="I21" i="8"/>
  <c r="H21" i="8"/>
  <c r="G21" i="8"/>
  <c r="F21" i="8"/>
  <c r="E21" i="8"/>
  <c r="I24" i="8"/>
  <c r="H24" i="8"/>
  <c r="G24" i="8"/>
  <c r="F24" i="8"/>
  <c r="E24" i="8"/>
  <c r="E27" i="8"/>
  <c r="F27" i="8" s="1"/>
  <c r="G27" i="8" s="1"/>
  <c r="H27" i="8" s="1"/>
  <c r="I27" i="8" s="1"/>
  <c r="E26" i="8"/>
  <c r="F26" i="8" s="1"/>
  <c r="I14" i="8"/>
  <c r="I17" i="8"/>
  <c r="H17" i="8"/>
  <c r="G17" i="8"/>
  <c r="F17" i="8"/>
  <c r="E17" i="8"/>
  <c r="I13" i="8"/>
  <c r="H13" i="8"/>
  <c r="G13" i="8"/>
  <c r="F13" i="8"/>
  <c r="E13" i="8"/>
  <c r="M17" i="7"/>
  <c r="L17" i="7"/>
  <c r="K17" i="7"/>
  <c r="M12" i="7"/>
  <c r="M26" i="7" s="1"/>
  <c r="L12" i="7"/>
  <c r="L19" i="7" s="1"/>
  <c r="K12" i="7"/>
  <c r="K26" i="7" s="1"/>
  <c r="O17" i="7"/>
  <c r="I17" i="7"/>
  <c r="H17" i="7"/>
  <c r="G17" i="7"/>
  <c r="F17" i="7"/>
  <c r="E17" i="7"/>
  <c r="O12" i="7"/>
  <c r="O26" i="7" s="1"/>
  <c r="I12" i="7"/>
  <c r="H12" i="7"/>
  <c r="H26" i="7" s="1"/>
  <c r="G12" i="7"/>
  <c r="G26" i="7" s="1"/>
  <c r="F12" i="7"/>
  <c r="F26" i="7" s="1"/>
  <c r="E12" i="7"/>
  <c r="E26" i="7" s="1"/>
  <c r="Y10" i="11" l="1"/>
  <c r="Y17" i="11"/>
  <c r="N18" i="11"/>
  <c r="F39" i="8"/>
  <c r="F40" i="8" s="1"/>
  <c r="F41" i="8" s="1"/>
  <c r="F34" i="8"/>
  <c r="H39" i="8"/>
  <c r="H40" i="8" s="1"/>
  <c r="H41" i="8" s="1"/>
  <c r="E19" i="7"/>
  <c r="E24" i="7" s="1"/>
  <c r="H19" i="7"/>
  <c r="H24" i="7" s="1"/>
  <c r="M19" i="7"/>
  <c r="I19" i="7"/>
  <c r="I24" i="7" s="1"/>
  <c r="L26" i="7"/>
  <c r="I39" i="8"/>
  <c r="I40" i="8" s="1"/>
  <c r="I41" i="8" s="1"/>
  <c r="O19" i="7"/>
  <c r="F19" i="7"/>
  <c r="F24" i="7" s="1"/>
  <c r="I26" i="7"/>
  <c r="K19" i="7"/>
  <c r="G19" i="7"/>
  <c r="G24" i="7" s="1"/>
  <c r="E35" i="8"/>
  <c r="F35" i="8"/>
  <c r="E36" i="8"/>
  <c r="E37" i="8" s="1"/>
  <c r="G35" i="8"/>
  <c r="H35" i="8"/>
  <c r="G36" i="8"/>
  <c r="G37" i="8" s="1"/>
  <c r="H34" i="8"/>
  <c r="I35" i="8"/>
  <c r="I34" i="8"/>
  <c r="G34" i="8"/>
  <c r="E34" i="8"/>
  <c r="E28" i="8"/>
  <c r="F28" i="8"/>
  <c r="G26" i="8"/>
  <c r="N10" i="6"/>
  <c r="O10" i="6"/>
  <c r="P10" i="6"/>
  <c r="N11" i="6"/>
  <c r="O11" i="6"/>
  <c r="P11" i="6"/>
  <c r="N12" i="6"/>
  <c r="O12" i="6"/>
  <c r="P12" i="6"/>
  <c r="N13" i="6"/>
  <c r="O13" i="6"/>
  <c r="P13" i="6"/>
  <c r="N14" i="6"/>
  <c r="O14" i="6"/>
  <c r="P14" i="6"/>
  <c r="P9" i="6"/>
  <c r="O9" i="6"/>
  <c r="N9" i="6"/>
  <c r="J14" i="6"/>
  <c r="J13" i="6"/>
  <c r="J12" i="6"/>
  <c r="J11" i="6"/>
  <c r="J10" i="6"/>
  <c r="J9" i="6"/>
  <c r="E27" i="5"/>
  <c r="O25" i="5"/>
  <c r="O26" i="5" s="1"/>
  <c r="N25" i="5"/>
  <c r="N26" i="5" s="1"/>
  <c r="M25" i="5"/>
  <c r="M26" i="5" s="1"/>
  <c r="L25" i="5"/>
  <c r="L26" i="5" s="1"/>
  <c r="K25" i="5"/>
  <c r="K26" i="5" s="1"/>
  <c r="J25" i="5"/>
  <c r="J26" i="5" s="1"/>
  <c r="I25" i="5"/>
  <c r="I26" i="5" s="1"/>
  <c r="H25" i="5"/>
  <c r="H26" i="5" s="1"/>
  <c r="G25" i="5"/>
  <c r="G26" i="5" s="1"/>
  <c r="F25" i="5"/>
  <c r="F26" i="5" s="1"/>
  <c r="G17" i="4"/>
  <c r="G19" i="4" s="1"/>
  <c r="G15" i="4"/>
  <c r="T11" i="4"/>
  <c r="S11" i="4"/>
  <c r="R11" i="4"/>
  <c r="Q11" i="4"/>
  <c r="O11" i="4"/>
  <c r="N11" i="4"/>
  <c r="M11" i="4"/>
  <c r="L11" i="4"/>
  <c r="J11" i="4"/>
  <c r="I11" i="4"/>
  <c r="H12" i="4"/>
  <c r="H11" i="4"/>
  <c r="G21" i="4" l="1"/>
  <c r="G27" i="4" s="1"/>
  <c r="H13" i="4"/>
  <c r="H15" i="4" s="1"/>
  <c r="I13" i="4" s="1"/>
  <c r="G16" i="4"/>
  <c r="O12" i="4"/>
  <c r="Q12" i="4"/>
  <c r="I12" i="4"/>
  <c r="R12" i="4"/>
  <c r="L12" i="4"/>
  <c r="M12" i="4"/>
  <c r="S12" i="4"/>
  <c r="J12" i="4"/>
  <c r="T12" i="4"/>
  <c r="G28" i="8"/>
  <c r="H26" i="8"/>
  <c r="N12" i="4"/>
  <c r="K9" i="3"/>
  <c r="K14" i="3"/>
  <c r="G15" i="3"/>
  <c r="K13" i="3"/>
  <c r="K12" i="3"/>
  <c r="K11" i="3"/>
  <c r="K10" i="3"/>
  <c r="K8" i="3"/>
  <c r="J13" i="3"/>
  <c r="J12" i="3"/>
  <c r="J11" i="3"/>
  <c r="J10" i="3"/>
  <c r="J9" i="3"/>
  <c r="J8" i="3"/>
  <c r="E15" i="3"/>
  <c r="I13" i="2"/>
  <c r="H13" i="2"/>
  <c r="G13" i="2"/>
  <c r="F13" i="2"/>
  <c r="E13" i="2"/>
  <c r="E24" i="2"/>
  <c r="F24" i="2"/>
  <c r="I16" i="2"/>
  <c r="H16" i="2"/>
  <c r="F16" i="2"/>
  <c r="F10" i="2"/>
  <c r="G10" i="2" s="1"/>
  <c r="H10" i="2" s="1"/>
  <c r="I10" i="2" s="1"/>
  <c r="G16" i="2"/>
  <c r="E16" i="2"/>
  <c r="F21" i="2"/>
  <c r="G21" i="2"/>
  <c r="H21" i="2"/>
  <c r="I21" i="2"/>
  <c r="F22" i="2"/>
  <c r="G22" i="2"/>
  <c r="H22" i="2"/>
  <c r="I22" i="2"/>
  <c r="E22" i="2"/>
  <c r="E21" i="2"/>
  <c r="V18" i="1"/>
  <c r="W16" i="1"/>
  <c r="W15" i="1"/>
  <c r="W13" i="1"/>
  <c r="V17" i="1"/>
  <c r="G14" i="1"/>
  <c r="L14" i="1"/>
  <c r="W14" i="1" s="1"/>
  <c r="K14" i="1"/>
  <c r="J14" i="1"/>
  <c r="I14" i="1"/>
  <c r="H14" i="1"/>
  <c r="L11" i="1"/>
  <c r="W11" i="1" s="1"/>
  <c r="K11" i="1"/>
  <c r="J11" i="1"/>
  <c r="I11" i="1"/>
  <c r="H11" i="1"/>
  <c r="G11" i="1"/>
  <c r="I15" i="4" l="1"/>
  <c r="J13" i="4" s="1"/>
  <c r="J14" i="4" s="1"/>
  <c r="G28" i="4"/>
  <c r="G29" i="4" s="1"/>
  <c r="G31" i="4" s="1"/>
  <c r="I14" i="4"/>
  <c r="H17" i="4"/>
  <c r="H19" i="4" s="1"/>
  <c r="H14" i="4"/>
  <c r="H16" i="4" s="1"/>
  <c r="I23" i="2"/>
  <c r="I28" i="2"/>
  <c r="H23" i="2"/>
  <c r="H28" i="2"/>
  <c r="E23" i="2"/>
  <c r="E29" i="2"/>
  <c r="E28" i="2"/>
  <c r="G28" i="2"/>
  <c r="F23" i="2"/>
  <c r="F28" i="2"/>
  <c r="F29" i="2"/>
  <c r="G23" i="2"/>
  <c r="G17" i="2"/>
  <c r="H28" i="8"/>
  <c r="I26" i="8"/>
  <c r="I28" i="8" s="1"/>
  <c r="I17" i="4"/>
  <c r="I19" i="4" s="1"/>
  <c r="H15" i="3"/>
  <c r="K15" i="3" s="1"/>
  <c r="J15" i="3"/>
  <c r="J18" i="1"/>
  <c r="G18" i="1"/>
  <c r="I18" i="1"/>
  <c r="L18" i="1"/>
  <c r="W18" i="1" s="1"/>
  <c r="K18" i="1"/>
  <c r="H18" i="1"/>
  <c r="G17" i="1"/>
  <c r="H17" i="1" s="1"/>
  <c r="I17" i="1" s="1"/>
  <c r="J17" i="1" s="1"/>
  <c r="K17" i="1" s="1"/>
  <c r="I16" i="4" l="1"/>
  <c r="I21" i="4"/>
  <c r="I27" i="4" s="1"/>
  <c r="I28" i="4" s="1"/>
  <c r="I29" i="4" s="1"/>
  <c r="I31" i="4" s="1"/>
  <c r="H21" i="4"/>
  <c r="H27" i="4" s="1"/>
  <c r="I24" i="2"/>
  <c r="I29" i="2"/>
  <c r="G24" i="2"/>
  <c r="G29" i="2"/>
  <c r="H24" i="2"/>
  <c r="H29" i="2"/>
  <c r="W10" i="1"/>
  <c r="L17" i="1"/>
  <c r="W17" i="1" s="1"/>
  <c r="J15" i="4"/>
  <c r="J16" i="4" s="1"/>
  <c r="J17" i="4"/>
  <c r="J19" i="4" s="1"/>
  <c r="H28" i="4" l="1"/>
  <c r="H29" i="4" s="1"/>
  <c r="H31" i="4" s="1"/>
  <c r="J21" i="4"/>
  <c r="L13" i="4"/>
  <c r="J27" i="4" l="1"/>
  <c r="J28" i="4" s="1"/>
  <c r="J29" i="4" s="1"/>
  <c r="J31" i="4" s="1"/>
  <c r="G33" i="4" s="1"/>
  <c r="I22" i="4"/>
  <c r="H22" i="4"/>
  <c r="J22" i="4"/>
  <c r="G22" i="4"/>
  <c r="L17" i="4"/>
  <c r="L19" i="4" s="1"/>
  <c r="L14" i="4"/>
  <c r="L15" i="4"/>
  <c r="L21" i="4" l="1"/>
  <c r="L16" i="4"/>
  <c r="M13" i="4"/>
  <c r="M14" i="4" s="1"/>
  <c r="L23" i="4" l="1"/>
  <c r="L27" i="4"/>
  <c r="M15" i="4"/>
  <c r="N13" i="4" s="1"/>
  <c r="N14" i="4" s="1"/>
  <c r="M17" i="4"/>
  <c r="M19" i="4" s="1"/>
  <c r="M21" i="4" l="1"/>
  <c r="L28" i="4"/>
  <c r="L29" i="4" s="1"/>
  <c r="L31" i="4" s="1"/>
  <c r="H33" i="4" s="1"/>
  <c r="G35" i="4" s="1"/>
  <c r="G37" i="4" s="1"/>
  <c r="G38" i="4" s="1"/>
  <c r="M16" i="4"/>
  <c r="N15" i="4"/>
  <c r="O13" i="4" s="1"/>
  <c r="O14" i="4" s="1"/>
  <c r="N17" i="4"/>
  <c r="N19" i="4" s="1"/>
  <c r="M23" i="4" l="1"/>
  <c r="M27" i="4"/>
  <c r="M28" i="4" s="1"/>
  <c r="M29" i="4" s="1"/>
  <c r="M31" i="4" s="1"/>
  <c r="I33" i="4" s="1"/>
  <c r="H35" i="4" s="1"/>
  <c r="H37" i="4" s="1"/>
  <c r="H38" i="4" s="1"/>
  <c r="N21" i="4"/>
  <c r="N16" i="4"/>
  <c r="O17" i="4"/>
  <c r="O19" i="4" s="1"/>
  <c r="O15" i="4"/>
  <c r="Q13" i="4" s="1"/>
  <c r="Q14" i="4" s="1"/>
  <c r="N23" i="4" l="1"/>
  <c r="N27" i="4"/>
  <c r="O21" i="4"/>
  <c r="O16" i="4"/>
  <c r="Q15" i="4"/>
  <c r="R13" i="4" s="1"/>
  <c r="R14" i="4" s="1"/>
  <c r="Q17" i="4"/>
  <c r="Q19" i="4" s="1"/>
  <c r="O27" i="4" l="1"/>
  <c r="O23" i="4"/>
  <c r="M22" i="4"/>
  <c r="L22" i="4"/>
  <c r="N22" i="4"/>
  <c r="O22" i="4"/>
  <c r="N28" i="4"/>
  <c r="N29" i="4" s="1"/>
  <c r="N31" i="4" s="1"/>
  <c r="J33" i="4" s="1"/>
  <c r="I35" i="4" s="1"/>
  <c r="I37" i="4" s="1"/>
  <c r="I38" i="4" s="1"/>
  <c r="Q21" i="4"/>
  <c r="Q16" i="4"/>
  <c r="R17" i="4"/>
  <c r="R19" i="4" s="1"/>
  <c r="R15" i="4"/>
  <c r="R16" i="4" s="1"/>
  <c r="Q23" i="4" l="1"/>
  <c r="Q27" i="4"/>
  <c r="R21" i="4"/>
  <c r="O28" i="4"/>
  <c r="O29" i="4" s="1"/>
  <c r="O31" i="4" s="1"/>
  <c r="L33" i="4" s="1"/>
  <c r="J35" i="4" s="1"/>
  <c r="J37" i="4" s="1"/>
  <c r="J38" i="4" s="1"/>
  <c r="S13" i="4"/>
  <c r="S14" i="4" s="1"/>
  <c r="R23" i="4" l="1"/>
  <c r="R27" i="4"/>
  <c r="Q28" i="4"/>
  <c r="Q29" i="4" s="1"/>
  <c r="Q31" i="4" s="1"/>
  <c r="M33" i="4" s="1"/>
  <c r="L35" i="4" s="1"/>
  <c r="L37" i="4" s="1"/>
  <c r="L38" i="4" s="1"/>
  <c r="S17" i="4"/>
  <c r="S19" i="4" s="1"/>
  <c r="S15" i="4"/>
  <c r="S16" i="4" s="1"/>
  <c r="S21" i="4" l="1"/>
  <c r="R28" i="4"/>
  <c r="R29" i="4" s="1"/>
  <c r="R31" i="4" s="1"/>
  <c r="N33" i="4" s="1"/>
  <c r="M35" i="4" s="1"/>
  <c r="M37" i="4" s="1"/>
  <c r="M38" i="4" s="1"/>
  <c r="T13" i="4"/>
  <c r="T14" i="4" s="1"/>
  <c r="S23" i="4" l="1"/>
  <c r="S27" i="4"/>
  <c r="T17" i="4"/>
  <c r="T19" i="4" s="1"/>
  <c r="T15" i="4"/>
  <c r="T16" i="4" s="1"/>
  <c r="T21" i="4" l="1"/>
  <c r="S28" i="4"/>
  <c r="S29" i="4" s="1"/>
  <c r="S31" i="4" s="1"/>
  <c r="O33" i="4" s="1"/>
  <c r="N35" i="4" s="1"/>
  <c r="N37" i="4" s="1"/>
  <c r="N38" i="4" s="1"/>
  <c r="T27" i="4" l="1"/>
  <c r="R22" i="4"/>
  <c r="T23" i="4"/>
  <c r="S22" i="4"/>
  <c r="T22" i="4"/>
  <c r="Q22" i="4"/>
  <c r="T28" i="4" l="1"/>
  <c r="T29" i="4" s="1"/>
  <c r="T31" i="4" s="1"/>
  <c r="Q33" i="4" s="1"/>
  <c r="O35" i="4" s="1"/>
  <c r="O37" i="4" s="1"/>
  <c r="O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Lavner</author>
    <author>Dave K</author>
  </authors>
  <commentList>
    <comment ref="AA23" authorId="0" shapeId="0" xr:uid="{59A7F535-EBA6-42FF-87EC-4CBF148D1156}">
      <text>
        <r>
          <rPr>
            <b/>
            <sz val="9"/>
            <color indexed="81"/>
            <rFont val="Tahoma"/>
            <family val="2"/>
          </rPr>
          <t>Michael Lavner:</t>
        </r>
        <r>
          <rPr>
            <sz val="9"/>
            <color indexed="81"/>
            <rFont val="Tahoma"/>
            <family val="2"/>
          </rPr>
          <t xml:space="preserve">
If above: "why not selling more to new logos"
If below: why not upselling / cross-selling enough?</t>
        </r>
      </text>
    </comment>
    <comment ref="E28" authorId="1" shapeId="0" xr:uid="{CABB9337-1518-4D32-A4FE-AC8C10C09C76}">
      <text>
        <r>
          <rPr>
            <b/>
            <sz val="9"/>
            <color indexed="81"/>
            <rFont val="Tahoma"/>
            <family val="2"/>
          </rPr>
          <t>Dave K:</t>
        </r>
        <r>
          <rPr>
            <sz val="9"/>
            <color indexed="81"/>
            <rFont val="Tahoma"/>
            <family val="2"/>
          </rPr>
          <t xml:space="preserve">
Added "to go" as I think you're doing on to-go basis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Lavner</author>
  </authors>
  <commentList>
    <comment ref="E10" authorId="0" shapeId="0" xr:uid="{165A3618-9FD5-4375-BF77-D554CCBE2CA0}">
      <text>
        <r>
          <rPr>
            <sz val="9"/>
            <color indexed="81"/>
            <rFont val="Tahoma"/>
            <family val="2"/>
          </rPr>
          <t xml:space="preserve">
These four cells model the sales productivity ramp -- i.e., the percent of target productivity a seller is expected to deliver as they increase tenure within the company and development of their territory.</t>
        </r>
      </text>
    </comment>
    <comment ref="E15" authorId="0" shapeId="0" xr:uid="{2A26E094-7D54-4E2A-81DE-8DBBD87D9C6A}">
      <text>
        <r>
          <rPr>
            <sz val="9"/>
            <color indexed="81"/>
            <rFont val="Tahoma"/>
            <family val="2"/>
          </rPr>
          <t xml:space="preserve">
Attrition per year</t>
        </r>
      </text>
    </comment>
    <comment ref="E19" authorId="0" shapeId="0" xr:uid="{2C3F683B-D1DF-43E7-98B7-262B4C1D79C7}">
      <text>
        <r>
          <rPr>
            <sz val="9"/>
            <color indexed="81"/>
            <rFont val="Tahoma"/>
            <family val="2"/>
          </rPr>
          <t xml:space="preserve">
This actual observed productivity. 
Typically ~20% lower than quota capacity (assumed quarterly New ARR quota per rep x #reps)</t>
        </r>
      </text>
    </comment>
    <comment ref="D20" authorId="0" shapeId="0" xr:uid="{362E1892-2DB7-4A14-9704-22202BF1FCBA}">
      <text>
        <r>
          <rPr>
            <b/>
            <sz val="9"/>
            <color indexed="81"/>
            <rFont val="Tahoma"/>
            <family val="2"/>
          </rPr>
          <t>Michael Lavner:</t>
        </r>
        <r>
          <rPr>
            <sz val="9"/>
            <color indexed="81"/>
            <rFont val="Tahoma"/>
            <family val="2"/>
          </rPr>
          <t xml:space="preserve">
Adjustment, typically for linearity or for CRO judgement / plan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Lavner</author>
  </authors>
  <commentList>
    <comment ref="D27" authorId="0" shapeId="0" xr:uid="{0F2B73CE-38AD-44EF-BC83-BA6221245E92}">
      <text>
        <r>
          <rPr>
            <b/>
            <sz val="9"/>
            <color indexed="81"/>
            <rFont val="Tahoma"/>
            <family val="2"/>
          </rPr>
          <t>Michael Lavner:</t>
        </r>
        <r>
          <rPr>
            <sz val="9"/>
            <color indexed="81"/>
            <rFont val="Tahoma"/>
            <family val="2"/>
          </rPr>
          <t xml:space="preserve">
Cohort-based</t>
        </r>
      </text>
    </comment>
  </commentList>
</comments>
</file>

<file path=xl/sharedStrings.xml><?xml version="1.0" encoding="utf-8"?>
<sst xmlns="http://schemas.openxmlformats.org/spreadsheetml/2006/main" count="388" uniqueCount="288">
  <si>
    <t>W7</t>
  </si>
  <si>
    <t>W8</t>
  </si>
  <si>
    <t>W9</t>
  </si>
  <si>
    <t>W10</t>
  </si>
  <si>
    <t>W11</t>
  </si>
  <si>
    <t>W12</t>
  </si>
  <si>
    <t>W13</t>
  </si>
  <si>
    <t>Final</t>
  </si>
  <si>
    <t>Starting ARR</t>
  </si>
  <si>
    <t>Churn ARR</t>
  </si>
  <si>
    <t>Ending ARR</t>
  </si>
  <si>
    <t>New ARR</t>
  </si>
  <si>
    <t>From new customers</t>
  </si>
  <si>
    <t>From existing customers</t>
  </si>
  <si>
    <t>From lost customers</t>
  </si>
  <si>
    <t>From shrinking customers</t>
  </si>
  <si>
    <t>Comment</t>
  </si>
  <si>
    <t>Weekly Forecast Sheet</t>
  </si>
  <si>
    <t>Plan</t>
  </si>
  <si>
    <t>FC / Plan</t>
  </si>
  <si>
    <t>Week 1</t>
  </si>
  <si>
    <t>Week 2</t>
  </si>
  <si>
    <t>Week 3</t>
  </si>
  <si>
    <t>Week 4</t>
  </si>
  <si>
    <t>Week 5</t>
  </si>
  <si>
    <t>Week 6</t>
  </si>
  <si>
    <t>Net new ARR</t>
  </si>
  <si>
    <t>ARR Forecast</t>
  </si>
  <si>
    <t xml:space="preserve">Rep-level </t>
  </si>
  <si>
    <t>Pipeline Coverage</t>
  </si>
  <si>
    <t>Current-quarter pipeline</t>
  </si>
  <si>
    <t>Booked QTD</t>
  </si>
  <si>
    <t>To-go coverage ratio</t>
  </si>
  <si>
    <t>Triangulation Forecasts (New ARR)</t>
  </si>
  <si>
    <t>Stage-weighted pipeline</t>
  </si>
  <si>
    <t>FC-category-weighted pipeline</t>
  </si>
  <si>
    <t xml:space="preserve">Sum of the reps' forecasts </t>
  </si>
  <si>
    <t>% of Plan</t>
  </si>
  <si>
    <t>Responses</t>
  </si>
  <si>
    <t>MQLs</t>
  </si>
  <si>
    <t>Net New Leads</t>
  </si>
  <si>
    <t>Deals</t>
  </si>
  <si>
    <t>Qtr-1</t>
  </si>
  <si>
    <t>Qtr-4</t>
  </si>
  <si>
    <t>Qtr-3</t>
  </si>
  <si>
    <t>Qtr-2</t>
  </si>
  <si>
    <t>Current Qtr</t>
  </si>
  <si>
    <t>Marketing Funnel Metrics Example</t>
  </si>
  <si>
    <t>Web traffic (unique visitors)</t>
  </si>
  <si>
    <t>Cost/deal</t>
  </si>
  <si>
    <t>Cost/MQL</t>
  </si>
  <si>
    <t>Organic</t>
  </si>
  <si>
    <t>Paid search</t>
  </si>
  <si>
    <t>Paid social</t>
  </si>
  <si>
    <t>Webinars</t>
  </si>
  <si>
    <t>Content marketing</t>
  </si>
  <si>
    <t>Q2 2022</t>
  </si>
  <si>
    <t>Total</t>
  </si>
  <si>
    <t>nm</t>
  </si>
  <si>
    <t>Spend is typically on your SEO program</t>
  </si>
  <si>
    <t>Field marketing</t>
  </si>
  <si>
    <t>Events and Tradeshows</t>
  </si>
  <si>
    <t>Example Marketing Channel Performance Chart</t>
  </si>
  <si>
    <t>1Q23</t>
  </si>
  <si>
    <t>2Q23</t>
  </si>
  <si>
    <t>3Q23</t>
  </si>
  <si>
    <t>4Q23</t>
  </si>
  <si>
    <t>1Q24</t>
  </si>
  <si>
    <t>2Q24</t>
  </si>
  <si>
    <t>3Q24</t>
  </si>
  <si>
    <t>4Q24</t>
  </si>
  <si>
    <t>Ending sellers</t>
  </si>
  <si>
    <t>Attrition</t>
  </si>
  <si>
    <t>Quarterly linearity</t>
  </si>
  <si>
    <t>YoY growth</t>
  </si>
  <si>
    <t>Name</t>
  </si>
  <si>
    <t>Seller 1</t>
  </si>
  <si>
    <t>Seller 2</t>
  </si>
  <si>
    <t>Seller 3</t>
  </si>
  <si>
    <t>Seller 4</t>
  </si>
  <si>
    <t>Seller 5</t>
  </si>
  <si>
    <t>Seller 6</t>
  </si>
  <si>
    <t>Seller 7</t>
  </si>
  <si>
    <t>Seller 8</t>
  </si>
  <si>
    <t>Seller 9</t>
  </si>
  <si>
    <t>Seller 10</t>
  </si>
  <si>
    <t>Seller 11</t>
  </si>
  <si>
    <t>Seller 12</t>
  </si>
  <si>
    <t>Hire Date</t>
  </si>
  <si>
    <t>Average</t>
  </si>
  <si>
    <t>Quarters Since Starting</t>
  </si>
  <si>
    <t>Target productivity</t>
  </si>
  <si>
    <t>% of Target</t>
  </si>
  <si>
    <t>Future period</t>
  </si>
  <si>
    <t>Terminated</t>
  </si>
  <si>
    <t>Average 4Q+ prod</t>
  </si>
  <si>
    <t>Pipeline Progression Chart</t>
  </si>
  <si>
    <t>Snapshot Date</t>
  </si>
  <si>
    <t>This Quarter</t>
  </si>
  <si>
    <t>Next Quarter</t>
  </si>
  <si>
    <t>N+2 Quarter</t>
  </si>
  <si>
    <t>All Future Qtrs</t>
  </si>
  <si>
    <t>Total Pipeline</t>
  </si>
  <si>
    <t>Pipeline $</t>
  </si>
  <si>
    <t>Targets</t>
  </si>
  <si>
    <t>Revenue</t>
  </si>
  <si>
    <t>COGS</t>
  </si>
  <si>
    <t>Gross margin</t>
  </si>
  <si>
    <t>S&amp;M</t>
  </si>
  <si>
    <t>R&amp;D</t>
  </si>
  <si>
    <t>G&amp;A</t>
  </si>
  <si>
    <t>Total Opex</t>
  </si>
  <si>
    <t>Operating Margin</t>
  </si>
  <si>
    <t>Rule of 40</t>
  </si>
  <si>
    <t>CAC ratio</t>
  </si>
  <si>
    <t>CAC payback period</t>
  </si>
  <si>
    <t>Net revenue retention</t>
  </si>
  <si>
    <t>Actual</t>
  </si>
  <si>
    <t>Model</t>
  </si>
  <si>
    <t>Benchmarks</t>
  </si>
  <si>
    <t>Source 1 
(ARR size)</t>
  </si>
  <si>
    <t>Source 3 
(Capital)</t>
  </si>
  <si>
    <t>Long-Term Target</t>
  </si>
  <si>
    <t>Glideslope Planning Example</t>
  </si>
  <si>
    <t>Source 2
 (Emps)</t>
  </si>
  <si>
    <t>New ARR Plan</t>
  </si>
  <si>
    <t>New ARR % of Plan</t>
  </si>
  <si>
    <t>W3FC/Actual</t>
  </si>
  <si>
    <t>Churn ARR Plan</t>
  </si>
  <si>
    <t>Churn ARR % of Plan</t>
  </si>
  <si>
    <t>Ending ARR Plan</t>
  </si>
  <si>
    <t>Ending ARR % of Plan</t>
  </si>
  <si>
    <t>Week 3 Churn Forecast</t>
  </si>
  <si>
    <t>QBR Metrics Examples</t>
  </si>
  <si>
    <t>ARR Analysis</t>
  </si>
  <si>
    <t>Pipeline Conversion and Count</t>
  </si>
  <si>
    <t>W3 CQ Pipeline Coverage</t>
  </si>
  <si>
    <t>Week 3 (W3) New ARR Forecast</t>
  </si>
  <si>
    <t>New ARR Actual</t>
  </si>
  <si>
    <t>W3 CQ Oppty Count</t>
  </si>
  <si>
    <t>W3 CQ Oppties / Seller</t>
  </si>
  <si>
    <t>W3 AQ Oppty Count</t>
  </si>
  <si>
    <t>W3 AQ Oppties / Seller</t>
  </si>
  <si>
    <t>W3 CQ Pipeline Conversion</t>
  </si>
  <si>
    <t>W3 All-Qtr (AQ) New ARR Pipeline</t>
  </si>
  <si>
    <t>xxx</t>
  </si>
  <si>
    <t>Input</t>
  </si>
  <si>
    <t>Calculation</t>
  </si>
  <si>
    <t>Link to another sheet</t>
  </si>
  <si>
    <t>Link to cell in current sheet</t>
  </si>
  <si>
    <r>
      <rPr>
        <b/>
        <u/>
        <sz val="11"/>
        <color theme="1"/>
        <rFont val="Calibri"/>
        <family val="2"/>
        <scheme val="minor"/>
      </rPr>
      <t xml:space="preserve">Notes
</t>
    </r>
    <r>
      <rPr>
        <b/>
        <sz val="11"/>
        <color theme="1"/>
        <rFont val="Calibri"/>
        <family val="2"/>
        <scheme val="minor"/>
      </rPr>
      <t xml:space="preserve">
</t>
    </r>
    <r>
      <rPr>
        <sz val="11"/>
        <color theme="1"/>
        <rFont val="Calibri"/>
        <family val="2"/>
        <scheme val="minor"/>
      </rPr>
      <t>This is not a linear funnel that people move quickly through.
This is a milestone-based analysis, i.e., we are simply counting how many things passed each milestone during the quarter.
Because of phase-lags (e.g., S2-to-close aka, the sales cycle), the deals closed are likely not from the MQLs generated in any given quarter.
For this reason, periodic cohort-based analyses, that track a set of leads is moves through the funnel, are recommended as a supplement</t>
    </r>
  </si>
  <si>
    <t>Bench</t>
  </si>
  <si>
    <t>Win rates</t>
  </si>
  <si>
    <t>Subpar</t>
  </si>
  <si>
    <t>Median</t>
  </si>
  <si>
    <t>Good</t>
  </si>
  <si>
    <t>Best</t>
  </si>
  <si>
    <r>
      <rPr>
        <b/>
        <u/>
        <sz val="11"/>
        <color theme="1"/>
        <rFont val="Calibri"/>
        <family val="2"/>
        <scheme val="minor"/>
      </rPr>
      <t>How to read</t>
    </r>
    <r>
      <rPr>
        <sz val="11"/>
        <color theme="1"/>
        <rFont val="Calibri"/>
        <family val="2"/>
        <scheme val="minor"/>
      </rPr>
      <t xml:space="preserve">
This chart is best read by first looking at this- and next-quarter coverage to spot any urgent problems
Then it should be read diagonally:  the 1/1/21 N+2 quarter pipeline  becomes the 4/1/21 next-quarter pipeline which becomes the 7/1/21 this-quarter pipeline
</t>
    </r>
  </si>
  <si>
    <t>The Seller Ramp Chart</t>
  </si>
  <si>
    <t>Current FC</t>
  </si>
  <si>
    <t>Prior Forecasts</t>
  </si>
  <si>
    <t>Coverage to get to plan (incl. booked)</t>
  </si>
  <si>
    <t>Coverage to get to plan (minus booked)</t>
  </si>
  <si>
    <t>Quarterly Plan - Weekly Forecast Sheet</t>
  </si>
  <si>
    <t>MQLs to S1 oppty</t>
  </si>
  <si>
    <t>S2 to Close</t>
  </si>
  <si>
    <t>S1 to S2 oppty</t>
  </si>
  <si>
    <t>Cost/S1 oppty</t>
  </si>
  <si>
    <t>Cost/S2 oppty</t>
  </si>
  <si>
    <t>Stage 1 oppties (S1)</t>
  </si>
  <si>
    <t>Stage 2 oppties (S2)</t>
  </si>
  <si>
    <t>50%+ competitive win rates</t>
  </si>
  <si>
    <t>Analyse stages (finalists…)</t>
  </si>
  <si>
    <t>Demo to win</t>
  </si>
  <si>
    <t>Demo not a sales cycle stage</t>
  </si>
  <si>
    <t>Previous quarters</t>
  </si>
  <si>
    <t>Q2-22</t>
  </si>
  <si>
    <t>Q1-22</t>
  </si>
  <si>
    <t>Q4-21</t>
  </si>
  <si>
    <t>Q3-21</t>
  </si>
  <si>
    <t>Q2-21</t>
  </si>
  <si>
    <t>Benchmark</t>
  </si>
  <si>
    <t>Seller 13</t>
  </si>
  <si>
    <t>Demandgen $ spent ($)</t>
  </si>
  <si>
    <t>Cost/MQL ($)</t>
  </si>
  <si>
    <t>Cost per milestone - $</t>
  </si>
  <si>
    <t>Conversion ratios - %</t>
  </si>
  <si>
    <t>Funnel Milestones - #</t>
  </si>
  <si>
    <t>Spend ($)</t>
  </si>
  <si>
    <t>Cost/S1 ($)</t>
  </si>
  <si>
    <t>Target ($)</t>
  </si>
  <si>
    <t>Drivers</t>
  </si>
  <si>
    <t>Ramped-rep equivalents (RREs)</t>
  </si>
  <si>
    <t>Sales bookings capacity model</t>
  </si>
  <si>
    <t>Sales Model</t>
  </si>
  <si>
    <t>Inverted Funnel Model</t>
  </si>
  <si>
    <t>New ARR Target</t>
  </si>
  <si>
    <t>Expansion ARR</t>
  </si>
  <si>
    <t>New logo ARR</t>
  </si>
  <si>
    <t>New logo ARR ASP</t>
  </si>
  <si>
    <t>New logo deals needed</t>
  </si>
  <si>
    <t>SAO-to-close rate</t>
  </si>
  <si>
    <t>SAO needed (3-Qtr shift)</t>
  </si>
  <si>
    <t>MQL-to-SAO rate</t>
  </si>
  <si>
    <t>MQLs needed (1-Qtr shift)</t>
  </si>
  <si>
    <t>DG cost / MQL ($)</t>
  </si>
  <si>
    <t>DG budget needed ($K)</t>
  </si>
  <si>
    <t>DG cost/SAO ($K)</t>
  </si>
  <si>
    <t>Next Year</t>
  </si>
  <si>
    <t>N+2 Year</t>
  </si>
  <si>
    <t>Q1</t>
  </si>
  <si>
    <t>Q2</t>
  </si>
  <si>
    <t>Q3</t>
  </si>
  <si>
    <t>Q4</t>
  </si>
  <si>
    <t>ARR K$</t>
  </si>
  <si>
    <r>
      <rPr>
        <b/>
        <u/>
        <sz val="11"/>
        <color theme="1"/>
        <rFont val="Calibri"/>
        <family val="2"/>
        <scheme val="minor"/>
      </rPr>
      <t>Notes</t>
    </r>
    <r>
      <rPr>
        <sz val="11"/>
        <color theme="1"/>
        <rFont val="Calibri"/>
        <family val="2"/>
        <scheme val="minor"/>
      </rPr>
      <t xml:space="preserve">
</t>
    </r>
    <r>
      <rPr>
        <b/>
        <sz val="11"/>
        <color theme="1"/>
        <rFont val="Calibri"/>
        <family val="2"/>
        <scheme val="minor"/>
      </rPr>
      <t xml:space="preserve">Sales booking capacity model
</t>
    </r>
    <r>
      <rPr>
        <sz val="11"/>
        <color theme="1"/>
        <rFont val="Calibri"/>
        <family val="2"/>
        <scheme val="minor"/>
      </rPr>
      <t xml:space="preserve">
- If you have different types of sellers (e.g., inside, enterprise) imagine one block like this per type
- This model lets you see the bookings impact of varying drivers like productivity, attrition, ramping, and hiring
- The art of building these is identifying which drivers to use and where and how to approximate – e.g., expansion ARR could be a single top-down number (e.g., % of New ARR from expansion) of it could be an attach-rate for a new product offering
</t>
    </r>
    <r>
      <rPr>
        <b/>
        <sz val="11"/>
        <color theme="1"/>
        <rFont val="Calibri"/>
        <family val="2"/>
        <scheme val="minor"/>
      </rPr>
      <t>Sales-linked Marketing inverted funnel</t>
    </r>
    <r>
      <rPr>
        <sz val="11"/>
        <color theme="1"/>
        <rFont val="Calibri"/>
        <family val="2"/>
        <scheme val="minor"/>
      </rPr>
      <t xml:space="preserve">
- This model links a sales booking capacity model to a marketing inverted funnel
- It phase-shifts opportunity generation by 3 quarters for the sales cycle and lags opportunity creation by 1 quarter from MQL creation
 - Calculating opportunities needed with cost / opportunity enables reverse-engineering the demandgen portion of the marketing budget
- It also helps ensure that sufficient pipeline is being generating early enough to support sales’ needs</t>
    </r>
  </si>
  <si>
    <t>Another example</t>
  </si>
  <si>
    <t>https://www.balderton.com/news/how-to-build-a-marketing-machine-an-evening-with-dave-kellogg-at-balderton-hq/</t>
  </si>
  <si>
    <t>P&amp;L</t>
  </si>
  <si>
    <t>KPIs</t>
  </si>
  <si>
    <t>W3 Current-Qtr (CQ) New ARR pipeline</t>
  </si>
  <si>
    <r>
      <t xml:space="preserve">Notes
</t>
    </r>
    <r>
      <rPr>
        <sz val="11"/>
        <color theme="1"/>
        <rFont val="Calibri"/>
        <family val="2"/>
        <scheme val="minor"/>
      </rPr>
      <t>Post-quarter meetings with exec team, sales management, and sellers to review the last quarter and plan for the next
As you scale, review by territory and/or region</t>
    </r>
  </si>
  <si>
    <t>Last Qtr</t>
  </si>
  <si>
    <t>Actuals</t>
  </si>
  <si>
    <t>Expansion as % New ARR</t>
  </si>
  <si>
    <t>Manager-level</t>
  </si>
  <si>
    <t>Sum of the managers' forecasts</t>
  </si>
  <si>
    <t>Simplified</t>
  </si>
  <si>
    <t>Advanced</t>
  </si>
  <si>
    <t>Instructions</t>
  </si>
  <si>
    <t>This set of spreadsheets contains all the templates discussed in the B2B Sales Playbook [include link to B2BSP]</t>
  </si>
  <si>
    <t>Goal is to help monitor, track and plan better.</t>
  </si>
  <si>
    <t>These templates can be used right out of the box, or be adapted to your need</t>
  </si>
  <si>
    <t>[DISCLAIMER AND LEGAL]</t>
  </si>
  <si>
    <t>Link to B2B Sales playbook: []</t>
  </si>
  <si>
    <t>Link to Balderton: []</t>
  </si>
  <si>
    <t>Legend</t>
  </si>
  <si>
    <t>This is best viewed in Page Break Preview mode</t>
  </si>
  <si>
    <t>Sales forecast</t>
  </si>
  <si>
    <t>Sales or Success forecast</t>
  </si>
  <si>
    <t>Success forecast</t>
  </si>
  <si>
    <t>Sales or CRO forecast</t>
  </si>
  <si>
    <r>
      <t xml:space="preserve">Sample interpretation
</t>
    </r>
    <r>
      <rPr>
        <sz val="11"/>
        <color theme="1"/>
        <rFont val="Calibri"/>
        <family val="2"/>
        <scheme val="minor"/>
      </rPr>
      <t>- Rep-level forecast tend to be optimistic, as reps tend to be optimistic
- CRO forecasts &gt; rep-level. 3 scenarios:
(a) CRO knows about some big deal they can pull forward to make up any gap</t>
    </r>
    <r>
      <rPr>
        <b/>
        <u/>
        <sz val="11"/>
        <color theme="1"/>
        <rFont val="Calibri"/>
        <family val="2"/>
        <scheme val="minor"/>
      </rPr>
      <t xml:space="preserve">
</t>
    </r>
    <r>
      <rPr>
        <sz val="11"/>
        <color theme="1"/>
        <rFont val="Calibri"/>
        <family val="2"/>
        <scheme val="minor"/>
      </rPr>
      <t>(b) CRO’s expense budget is automatically cut to preserve a target operating margin and thus they are choosing to be “upside down” rather face an immediate expense cut
(c) CRO is under-pressure and might be tempted to shoot for ending ARR. So if new ARR doesn't go up / keeps eroding then can ask customer success to cut churn and increase upsell / cross-sell (to protect Net New ARR)
- Stage-weighted pipeline forecast &lt; others: there is enough pipeline volume, but not far enough in its evolution. Ergo, should focus on velocity</t>
    </r>
  </si>
  <si>
    <r>
      <rPr>
        <b/>
        <u/>
        <sz val="11"/>
        <color theme="1"/>
        <rFont val="Calibri"/>
        <family val="2"/>
        <scheme val="minor"/>
      </rPr>
      <t xml:space="preserve">Notes
</t>
    </r>
    <r>
      <rPr>
        <sz val="11"/>
        <color theme="1"/>
        <rFont val="Calibri"/>
        <family val="2"/>
        <scheme val="minor"/>
      </rPr>
      <t xml:space="preserve">
This tracks the forecast every week. 
It includes a weekly New ARR forecast from Sales [2], and a weekly Churn forecast from Customer Success [5]. 
It shows pipeline coverage [11], the ratio between how much pipeline we have in play and how much more we need to sell 
It also shows three different triangulations on the forecasts
- Sum of the reps’ forecasts [12]: what you’d sell if every rep hit their current forecast.
- The pipeline’s stage-weighted expected value (EV) [13]: value of pipeline when weighted by probabilities assigned to each stage</t>
    </r>
  </si>
  <si>
    <t>Expected value based on FC category</t>
  </si>
  <si>
    <t>Expected value based on stage</t>
  </si>
  <si>
    <t xml:space="preserve"> QoQ % growth</t>
  </si>
  <si>
    <t>Coverage on stage-weighted basis</t>
  </si>
  <si>
    <r>
      <rPr>
        <b/>
        <u/>
        <sz val="11"/>
        <color theme="1"/>
        <rFont val="Calibri"/>
        <family val="2"/>
        <scheme val="minor"/>
      </rPr>
      <t xml:space="preserve">Notes
</t>
    </r>
    <r>
      <rPr>
        <sz val="11"/>
        <color theme="1"/>
        <rFont val="Calibri"/>
        <family val="2"/>
        <scheme val="minor"/>
      </rPr>
      <t xml:space="preserve">
This tracks the forecast every week. 
It includes a weekly New ARR forecast from Sales [2], and a weekly Churn forecast from Customer Success [5]. 
It shows pipeline coverage [14], the ratio between how much pipeline we have in play and how much more we need to sell 
It also shows three different triangulations on the forecasts
- Sum of the reps’ forecasts [17]: what you’d sell if every rep hit their current forecast.
- Sum of the managers' forecasts [18]: how much we’d sell if every CRO direct report hit their forecast
- The pipeline’s stage-weighted expected value (EV) [19]: value of pipeline when weighted by probabilities assigned to each stage
- The pipeline’s forecast-category-weighted EV [20]: value of pipeline when weighted by probabilities assigned to each forecast category</t>
    </r>
  </si>
  <si>
    <t>2Q Ago</t>
  </si>
  <si>
    <t>1Q Ago</t>
  </si>
  <si>
    <t>3Q Ago</t>
  </si>
  <si>
    <t>4Q Ago</t>
  </si>
  <si>
    <r>
      <rPr>
        <b/>
        <u/>
        <sz val="11"/>
        <color theme="1"/>
        <rFont val="Calibri"/>
        <family val="2"/>
        <scheme val="minor"/>
      </rPr>
      <t xml:space="preserve">Interpreting current scenario
</t>
    </r>
    <r>
      <rPr>
        <sz val="11"/>
        <color theme="1"/>
        <rFont val="Calibri"/>
        <family val="2"/>
        <scheme val="minor"/>
      </rPr>
      <t xml:space="preserve">
- MQLs double over the past year, growing faster than $ spent --&gt; Cost/MQL is going down steadily
- Overall stable conversion rate during handover between SDRs and AEs (S1 to S2)
- Cost/S1 and Cost/S2 both on downward trend
- However cost/deal on upward trend as S2 to close rate decreases
- Cost per deal increase of 30%</t>
    </r>
    <r>
      <rPr>
        <b/>
        <sz val="11"/>
        <color theme="1"/>
        <rFont val="Calibri"/>
        <family val="2"/>
        <scheme val="minor"/>
      </rPr>
      <t xml:space="preserve">
</t>
    </r>
    <r>
      <rPr>
        <sz val="11"/>
        <color theme="1"/>
        <rFont val="Calibri"/>
        <family val="2"/>
        <scheme val="minor"/>
      </rPr>
      <t>--&gt; Is marketing generating lower-quality oppties or sales doing  worse at closing them?</t>
    </r>
  </si>
  <si>
    <t>(First-touch attribution)</t>
  </si>
  <si>
    <t>($K)</t>
  </si>
  <si>
    <t>Stage-weighted to-go pipeline coverage</t>
  </si>
  <si>
    <r>
      <t xml:space="preserve">Sample interpretation
</t>
    </r>
    <r>
      <rPr>
        <b/>
        <sz val="11"/>
        <color theme="1"/>
        <rFont val="Calibri"/>
        <family val="2"/>
        <scheme val="minor"/>
      </rPr>
      <t>Basic patterns</t>
    </r>
    <r>
      <rPr>
        <b/>
        <u/>
        <sz val="11"/>
        <color theme="1"/>
        <rFont val="Calibri"/>
        <family val="2"/>
        <scheme val="minor"/>
      </rPr>
      <t xml:space="preserve">
</t>
    </r>
    <r>
      <rPr>
        <sz val="11"/>
        <color theme="1"/>
        <rFont val="Calibri"/>
        <family val="2"/>
        <scheme val="minor"/>
      </rPr>
      <t xml:space="preserve">- Rep-level forecast tend to be optimistic, as rep tend to be optimistic
- Manager-level and/or CRO-level forecast tends to be the most accurate
</t>
    </r>
    <r>
      <rPr>
        <b/>
        <sz val="11"/>
        <color theme="1"/>
        <rFont val="Calibri"/>
        <family val="2"/>
        <scheme val="minor"/>
      </rPr>
      <t>Examples of patterns</t>
    </r>
    <r>
      <rPr>
        <sz val="11"/>
        <color theme="1"/>
        <rFont val="Calibri"/>
        <family val="2"/>
        <scheme val="minor"/>
      </rPr>
      <t xml:space="preserve">
- CRO forecasts &gt; rep-level. 3 scenarios:
(a) CRO knows about some big deal they can pull forward to make up any gap</t>
    </r>
    <r>
      <rPr>
        <b/>
        <u/>
        <sz val="11"/>
        <color theme="1"/>
        <rFont val="Calibri"/>
        <family val="2"/>
        <scheme val="minor"/>
      </rPr>
      <t xml:space="preserve">
</t>
    </r>
    <r>
      <rPr>
        <sz val="11"/>
        <color theme="1"/>
        <rFont val="Calibri"/>
        <family val="2"/>
        <scheme val="minor"/>
      </rPr>
      <t>(b) CRO’s expense budget is automatically cut to preserve a target operating margin and thus they are choosing to be “upside down” rather face an immediate expense cut
(c) CRO is under-pressure and might be tempted to shoot for ending ARR. So if new ARR doesn't go up / keeps eroding then can ask customer success to cut churn (to protect Net New ARR)
- Stage-weighted pipeline forecast &lt; others: there is enough pipeline volume, but not far enough in its evolution. Ergo, should focus on velocity</t>
    </r>
  </si>
  <si>
    <t>S1 Oppties</t>
  </si>
  <si>
    <r>
      <rPr>
        <b/>
        <u/>
        <sz val="11"/>
        <color theme="1"/>
        <rFont val="Calibri"/>
        <family val="2"/>
        <scheme val="minor"/>
      </rPr>
      <t xml:space="preserve">Interpreting current scenario
</t>
    </r>
    <r>
      <rPr>
        <b/>
        <sz val="11"/>
        <color theme="1"/>
        <rFont val="Calibri"/>
        <family val="2"/>
        <scheme val="minor"/>
      </rPr>
      <t xml:space="preserve">
</t>
    </r>
    <r>
      <rPr>
        <sz val="11"/>
        <color theme="1"/>
        <rFont val="Calibri"/>
        <family val="2"/>
        <scheme val="minor"/>
      </rPr>
      <t xml:space="preserve">Organic is the cheapest but hardest to scale. 
Webinars tend to generate larger oppties but can be more expensive --&gt; improve by doing $-based pipe/spend analysis
Tradeshows can be effective overall, but for leadgen the leads tend to convert oppties at a low rate
Late-funnel marketing can look terrible from a leadgen point of view --&gt; $ pipe / spend analysis
</t>
    </r>
  </si>
  <si>
    <r>
      <rPr>
        <b/>
        <u/>
        <sz val="11"/>
        <color theme="1"/>
        <rFont val="Calibri"/>
        <family val="2"/>
        <scheme val="minor"/>
      </rPr>
      <t xml:space="preserve">Notes
</t>
    </r>
    <r>
      <rPr>
        <b/>
        <sz val="11"/>
        <color theme="1"/>
        <rFont val="Calibri"/>
        <family val="2"/>
        <scheme val="minor"/>
      </rPr>
      <t xml:space="preserve">
</t>
    </r>
    <r>
      <rPr>
        <sz val="11"/>
        <color theme="1"/>
        <rFont val="Calibri"/>
        <family val="2"/>
        <scheme val="minor"/>
      </rPr>
      <t xml:space="preserve">Milestone-based analysis, done on a first-touch attribution basis
If you track through to deals it should be a cohort-based analysis
</t>
    </r>
    <r>
      <rPr>
        <b/>
        <sz val="11"/>
        <color theme="1"/>
        <rFont val="Calibri"/>
        <family val="2"/>
        <scheme val="minor"/>
      </rPr>
      <t xml:space="preserve">
</t>
    </r>
    <r>
      <rPr>
        <sz val="11"/>
        <color theme="1"/>
        <rFont val="Calibri"/>
        <family val="2"/>
        <scheme val="minor"/>
      </rPr>
      <t>Marketers think of campaigns/programs as happening within (and across) various channels</t>
    </r>
    <r>
      <rPr>
        <b/>
        <sz val="11"/>
        <color theme="1"/>
        <rFont val="Calibri"/>
        <family val="2"/>
        <scheme val="minor"/>
      </rPr>
      <t xml:space="preserve">
</t>
    </r>
    <r>
      <rPr>
        <sz val="11"/>
        <color theme="1"/>
        <rFont val="Calibri"/>
        <family val="2"/>
        <scheme val="minor"/>
      </rPr>
      <t>Can also do  via pipeline $ (not opportunity count) and measuring the pipe/spend ratio</t>
    </r>
  </si>
  <si>
    <r>
      <rPr>
        <b/>
        <u/>
        <sz val="11"/>
        <color theme="1"/>
        <rFont val="Calibri"/>
        <family val="2"/>
        <scheme val="minor"/>
      </rPr>
      <t>Notes</t>
    </r>
    <r>
      <rPr>
        <sz val="11"/>
        <color theme="1"/>
        <rFont val="Calibri"/>
        <family val="2"/>
        <scheme val="minor"/>
      </rPr>
      <t xml:space="preserve">
That charts avoid the problems that come with tracking only total or rolling 4-quarter (e.g., backloaded pipe)
This chart shows the pipeline snapshotted every quarter, its distribution over time (i.e., close date), and shows the coverage ratio of the sales target (i.e., pipeline/target)
</t>
    </r>
  </si>
  <si>
    <t>% reps at or above target (4Q+)</t>
  </si>
  <si>
    <r>
      <rPr>
        <b/>
        <u/>
        <sz val="11"/>
        <color theme="1"/>
        <rFont val="Calibri"/>
        <family val="2"/>
        <scheme val="minor"/>
      </rPr>
      <t>Notes</t>
    </r>
    <r>
      <rPr>
        <sz val="11"/>
        <color theme="1"/>
        <rFont val="Calibri"/>
        <family val="2"/>
        <scheme val="minor"/>
      </rPr>
      <t xml:space="preserve">
This chart tracks the historical productivity of every seller.
It can be used to determine steady-state seller productivity (average 4Q+ productivity).
It can also be used to determine seller ramp used in the sales bookings capacity model.  For example, a common ramp is  0%, 25%, 75% and 100% of target in their first four quarters.  Line 15 tells you how well that fits with reality.</t>
    </r>
  </si>
  <si>
    <t>Line</t>
  </si>
  <si>
    <t>First-quarter sellers (i.e., AEs)</t>
  </si>
  <si>
    <t>Second-quarter sellers</t>
  </si>
  <si>
    <t>Third-quarter sellers</t>
  </si>
  <si>
    <t>Steady-state sellers  4th Qtr+)</t>
  </si>
  <si>
    <t>Total sellers</t>
  </si>
  <si>
    <t>New ARR plan target</t>
  </si>
  <si>
    <r>
      <rPr>
        <b/>
        <u/>
        <sz val="11"/>
        <color theme="1"/>
        <rFont val="Calibri"/>
        <family val="2"/>
        <scheme val="minor"/>
      </rPr>
      <t>Interpreting current scenario</t>
    </r>
    <r>
      <rPr>
        <sz val="11"/>
        <color theme="1"/>
        <rFont val="Calibri"/>
        <family val="2"/>
        <scheme val="minor"/>
      </rPr>
      <t xml:space="preserve">
- Slightly light coverage of </t>
    </r>
    <r>
      <rPr>
        <b/>
        <sz val="11"/>
        <color theme="1"/>
        <rFont val="Calibri"/>
        <family val="2"/>
        <scheme val="minor"/>
      </rPr>
      <t>this quarter</t>
    </r>
    <r>
      <rPr>
        <sz val="11"/>
        <color theme="1"/>
        <rFont val="Calibri"/>
        <family val="2"/>
        <scheme val="minor"/>
      </rPr>
      <t xml:space="preserve"> - ideally you would like to have 3x pipeline for current quarter. You don't need 3x N+1 quarter pipeline one whole quarter in advance.  A lot of pipelie slips from quarter to qtr plus you have time to build pipeline between now and then
- 4Q in 2021 and 2022 looked weak at July snapshots --&gt; </t>
    </r>
    <r>
      <rPr>
        <b/>
        <sz val="11"/>
        <color theme="1"/>
        <rFont val="Calibri"/>
        <family val="2"/>
        <scheme val="minor"/>
      </rPr>
      <t xml:space="preserve">investigate low pipe gen in Q2-Q3
</t>
    </r>
    <r>
      <rPr>
        <sz val="11"/>
        <color theme="1"/>
        <rFont val="Calibri"/>
        <family val="2"/>
        <scheme val="minor"/>
      </rPr>
      <t xml:space="preserve">- Good motion of adding $ pipeline, when </t>
    </r>
    <r>
      <rPr>
        <b/>
        <sz val="11"/>
        <color theme="1"/>
        <rFont val="Calibri"/>
        <family val="2"/>
        <scheme val="minor"/>
      </rPr>
      <t>read diagonally</t>
    </r>
  </si>
  <si>
    <r>
      <t xml:space="preserve">Notes
</t>
    </r>
    <r>
      <rPr>
        <sz val="11"/>
        <color theme="1"/>
        <rFont val="Calibri"/>
        <family val="2"/>
        <scheme val="minor"/>
      </rPr>
      <t>Here we use multiple benchmarks, past actuals, the current-year plan and the model for the next two years to drive a discussion about key metrics, benchmarks, long-term targets, and our convergence to them over time.
Columns K-L-M are benchmarks, and source / universe needs to be specified. We are using several benchmarks to compare to industry norms and inspire improvements.
Column O is the output, and needs to be filled-in during. Remember that key metrics are hard to move and won't change drastically over time. Think about convergence over time</t>
    </r>
  </si>
  <si>
    <t>Expected Value (EV) based on pipeline</t>
  </si>
  <si>
    <t>Stage-weighted EV of pipeline</t>
  </si>
  <si>
    <t>Net Expansion as % Starting ARR</t>
  </si>
  <si>
    <t>Not to be confused with Cohort-based NDR</t>
  </si>
  <si>
    <t>New ARR productivity</t>
  </si>
  <si>
    <t>Judgement</t>
  </si>
  <si>
    <t>N+1 Year</t>
  </si>
  <si>
    <t>1Q25</t>
  </si>
  <si>
    <t>2Q25</t>
  </si>
  <si>
    <t>3Q25</t>
  </si>
  <si>
    <t>4Q25</t>
  </si>
  <si>
    <r>
      <rPr>
        <b/>
        <u/>
        <sz val="11"/>
        <rFont val="Calibri"/>
        <family val="2"/>
        <scheme val="minor"/>
      </rPr>
      <t>Interpreting current scenario</t>
    </r>
    <r>
      <rPr>
        <sz val="11"/>
        <rFont val="Calibri"/>
        <family val="2"/>
        <scheme val="minor"/>
      </rPr>
      <t xml:space="preserve">
- Looking at % of target gives an indication of </t>
    </r>
    <r>
      <rPr>
        <b/>
        <sz val="11"/>
        <rFont val="Calibri"/>
        <family val="2"/>
        <scheme val="minor"/>
      </rPr>
      <t xml:space="preserve">ramp period.
</t>
    </r>
    <r>
      <rPr>
        <sz val="11"/>
        <rFont val="Calibri"/>
        <family val="2"/>
        <scheme val="minor"/>
      </rPr>
      <t>Here you can see the reality is slightly better in the first two quarters (at 10%, 30% vs. 0%, 25%) and slightly worse in the third and fourth at 70% and 95% (vs. 75% and 100%)</t>
    </r>
    <r>
      <rPr>
        <b/>
        <sz val="11"/>
        <rFont val="Calibri"/>
        <family val="2"/>
        <scheme val="minor"/>
      </rPr>
      <t xml:space="preserve">
- </t>
    </r>
    <r>
      <rPr>
        <sz val="11"/>
        <rFont val="Calibri"/>
        <family val="2"/>
        <scheme val="minor"/>
      </rPr>
      <t>You want to avoid the scenario: "lots of sales number below target and a small black line", i.e. took a while to terminate an underperformer - e.g. seller 6
- Limited number of overperformers after 4Q+ --&gt; investigate</t>
    </r>
  </si>
  <si>
    <t xml:space="preserve">Target ~30% </t>
  </si>
  <si>
    <r>
      <t xml:space="preserve">Interpreting current scenario
</t>
    </r>
    <r>
      <rPr>
        <b/>
        <sz val="11"/>
        <color theme="1"/>
        <rFont val="Calibri"/>
        <family val="2"/>
        <scheme val="minor"/>
      </rPr>
      <t xml:space="preserve">CRO forecasts
</t>
    </r>
    <r>
      <rPr>
        <sz val="11"/>
        <color theme="1"/>
        <rFont val="Calibri"/>
        <family val="2"/>
        <scheme val="minor"/>
      </rPr>
      <t xml:space="preserve">- Company sold $500 in New ARR last quarter; Plan for this quarter is $550
</t>
    </r>
    <r>
      <rPr>
        <sz val="11"/>
        <rFont val="Calibri"/>
        <family val="2"/>
        <scheme val="minor"/>
      </rPr>
      <t>- CRO currently forecasting 575 at week 6 or 105% of New ARR plan; increasing overtime, probably reflection strong momentum
- CRO forecast of New ARR on a steady increase since the beginning</t>
    </r>
    <r>
      <rPr>
        <b/>
        <u/>
        <sz val="11"/>
        <color theme="1"/>
        <rFont val="Calibri"/>
        <family val="2"/>
        <scheme val="minor"/>
      </rPr>
      <t xml:space="preserve">
</t>
    </r>
    <r>
      <rPr>
        <sz val="11"/>
        <color theme="1"/>
        <rFont val="Calibri"/>
        <family val="2"/>
        <scheme val="minor"/>
      </rPr>
      <t xml:space="preserve">- Growth is above plan and accelerating
</t>
    </r>
    <r>
      <rPr>
        <b/>
        <sz val="11"/>
        <color theme="1"/>
        <rFont val="Calibri"/>
        <family val="2"/>
        <scheme val="minor"/>
      </rPr>
      <t>Triangulation forecasts</t>
    </r>
    <r>
      <rPr>
        <b/>
        <u/>
        <sz val="11"/>
        <color theme="1"/>
        <rFont val="Calibri"/>
        <family val="2"/>
        <scheme val="minor"/>
      </rPr>
      <t xml:space="preserve">
</t>
    </r>
    <r>
      <rPr>
        <sz val="11"/>
        <color theme="1"/>
        <rFont val="Calibri"/>
        <family val="2"/>
        <scheme val="minor"/>
      </rPr>
      <t xml:space="preserve">- Reps are calling a $675 forecast, but decreasing overtime
- Managers have perfectly predicted last quarter, and seems to forecast that this quarter will be on plan.
</t>
    </r>
    <r>
      <rPr>
        <b/>
        <sz val="11"/>
        <color theme="1"/>
        <rFont val="Calibri"/>
        <family val="2"/>
        <scheme val="minor"/>
      </rPr>
      <t xml:space="preserve">Key questions to ask
</t>
    </r>
    <r>
      <rPr>
        <sz val="11"/>
        <color theme="1"/>
        <rFont val="Calibri"/>
        <family val="2"/>
        <scheme val="minor"/>
      </rPr>
      <t>- What has been consistently the best predictor?
- What big/lumpy deals are in these numbers that could lead to large positive or negative surprises?
- Why are reps lowering their aggregate forecasts?
- Why Expansion as % new ARR so low? Why aren't we upselling / cross-selling more?</t>
    </r>
  </si>
  <si>
    <r>
      <t xml:space="preserve">Interpreting current scenario
</t>
    </r>
    <r>
      <rPr>
        <b/>
        <sz val="11"/>
        <color theme="1"/>
        <rFont val="Calibri"/>
        <family val="2"/>
        <scheme val="minor"/>
      </rPr>
      <t xml:space="preserve">CRO forecasts
</t>
    </r>
    <r>
      <rPr>
        <sz val="11"/>
        <color theme="1"/>
        <rFont val="Calibri"/>
        <family val="2"/>
        <scheme val="minor"/>
      </rPr>
      <t xml:space="preserve">- </t>
    </r>
    <r>
      <rPr>
        <sz val="11"/>
        <rFont val="Calibri"/>
        <family val="2"/>
        <scheme val="minor"/>
      </rPr>
      <t xml:space="preserve">CRO currently forecasting $325K New ARR from new customers for the quarter (at week 6) or 72% of Plan
- CRO forecast of New ARR decline at week 3 and stable then - but with new ARR from new customer steadily decreasing  
</t>
    </r>
    <r>
      <rPr>
        <sz val="11"/>
        <color theme="1"/>
        <rFont val="Calibri"/>
        <family val="2"/>
        <scheme val="minor"/>
      </rPr>
      <t>--&gt; CRO is likely pressuring CS to increase expansion and lower churn forecasts to offset soft new sales and protect Net New ARR
Focusing on ending ARR (97% of plan) tends to mask problems, e.g., when sales to new customers is 72% of plan</t>
    </r>
    <r>
      <rPr>
        <b/>
        <sz val="11"/>
        <color theme="1"/>
        <rFont val="Calibri"/>
        <family val="2"/>
        <scheme val="minor"/>
      </rPr>
      <t xml:space="preserve">
Triangulation forecasts</t>
    </r>
    <r>
      <rPr>
        <b/>
        <u/>
        <sz val="11"/>
        <color theme="1"/>
        <rFont val="Calibri"/>
        <family val="2"/>
        <scheme val="minor"/>
      </rPr>
      <t xml:space="preserve">
</t>
    </r>
    <r>
      <rPr>
        <sz val="11"/>
        <color theme="1"/>
        <rFont val="Calibri"/>
        <family val="2"/>
        <scheme val="minor"/>
      </rPr>
      <t xml:space="preserve">- Reps are calling a $550K forecast in-line with plan, but consistently deteriorating since week 3
- Stage-weighted pipeline is only at 77% of Plan 
- Pipeline is rich
</t>
    </r>
    <r>
      <rPr>
        <b/>
        <sz val="11"/>
        <color theme="1"/>
        <rFont val="Calibri"/>
        <family val="2"/>
        <scheme val="minor"/>
      </rPr>
      <t>--&gt; Conclusion: quarter will most likely end with $425-450K New ARR</t>
    </r>
    <r>
      <rPr>
        <sz val="11"/>
        <color theme="1"/>
        <rFont val="Calibri"/>
        <family val="2"/>
        <scheme val="minor"/>
      </rPr>
      <t xml:space="preserve">
</t>
    </r>
    <r>
      <rPr>
        <b/>
        <sz val="11"/>
        <color theme="1"/>
        <rFont val="Calibri"/>
        <family val="2"/>
        <scheme val="minor"/>
      </rPr>
      <t xml:space="preserve">Key questions to ask
</t>
    </r>
    <r>
      <rPr>
        <sz val="11"/>
        <color theme="1"/>
        <rFont val="Calibri"/>
        <family val="2"/>
        <scheme val="minor"/>
      </rPr>
      <t>- What has been consistently the best predictor?
- Why are forecasts deteriorating for new sales and improving for existing customers?
- Why is the churn forecast going down?  Was it too high to begin with, are we getting positive information on deals, or are we pressuring Customer Success to help close the gap?
- What big/lumpy deals are in these numbers that could lead to large positive or negative surprises?
- Why are reps lowering their aggregate forecasts?
- Have you cut your forecast sufficiently to handle additional bad news, or should I expect it to go down again next week?
- If so, why are you not following the fairly standard rule that when you must cut your forecast you cut it deeply enough so your next move is up?  You’ve broken that rule twice this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</si>
</sst>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0_);_(* \(#,##0.0\);_(* &quot;-&quot;??_);_(@_)"/>
    <numFmt numFmtId="166" formatCode="_(* #,##0_);_(* \(#,##0\);_(* &quot;-&quot;??_);_(@_)"/>
    <numFmt numFmtId="167" formatCode="_(#,##0.0%_);\(#,##0.0%\);_(&quot;–&quot;_)_%;_(@_)_%"/>
    <numFmt numFmtId="168" formatCode="_(0.0\x_)_)_';_(\(0.0\x\)_'_';_(&quot;–&quot;_)_%;_(@_)_%"/>
    <numFmt numFmtId="169" formatCode="_(#,##0%_);\(#,##0%\);_(&quot;–&quot;_)_%;_(@_)_%"/>
    <numFmt numFmtId="170" formatCode="_(#,##0_)_%;\(#,##0\)_%;_(&quot;–&quot;_)_%;_(@_)_%"/>
    <numFmt numFmtId="171" formatCode="_(#,##0.0_)_%;\(#,##0.0\)_%;_(&quot;–&quot;_)_%;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sz val="11"/>
      <color rgb="FF3F3F76"/>
      <name val="Calibri"/>
      <family val="2"/>
      <scheme val="minor"/>
    </font>
    <font>
      <sz val="11"/>
      <color theme="0"/>
      <name val="Calibri"/>
      <family val="2"/>
      <scheme val="minor"/>
    </font>
    <font>
      <sz val="11"/>
      <color theme="0" tint="-0.249977111117893"/>
      <name val="Calibri"/>
      <family val="2"/>
      <scheme val="minor"/>
    </font>
    <font>
      <b/>
      <sz val="11"/>
      <color theme="0"/>
      <name val="Calibri"/>
      <family val="2"/>
      <scheme val="minor"/>
    </font>
    <font>
      <b/>
      <sz val="12"/>
      <color rgb="FFFF0000"/>
      <name val="Calibri"/>
      <family val="2"/>
      <scheme val="minor"/>
    </font>
    <font>
      <b/>
      <u/>
      <sz val="11"/>
      <color theme="1"/>
      <name val="Calibri"/>
      <family val="2"/>
      <scheme val="minor"/>
    </font>
    <font>
      <sz val="11"/>
      <color rgb="FF0000FF"/>
      <name val="Calibri"/>
      <family val="2"/>
      <scheme val="minor"/>
    </font>
    <font>
      <i/>
      <sz val="11"/>
      <color rgb="FF0000FF"/>
      <name val="Calibri"/>
      <family val="2"/>
      <scheme val="minor"/>
    </font>
    <font>
      <sz val="11"/>
      <color rgb="FFFF0000"/>
      <name val="Calibri"/>
      <family val="2"/>
      <scheme val="minor"/>
    </font>
    <font>
      <sz val="11"/>
      <color rgb="FF008000"/>
      <name val="Calibri"/>
      <family val="2"/>
      <scheme val="minor"/>
    </font>
    <font>
      <sz val="11"/>
      <color rgb="FF800080"/>
      <name val="Calibri"/>
      <family val="2"/>
      <scheme val="minor"/>
    </font>
    <font>
      <sz val="11"/>
      <name val="Calibri"/>
      <family val="2"/>
      <scheme val="minor"/>
    </font>
    <font>
      <b/>
      <sz val="11"/>
      <color rgb="FFFF0000"/>
      <name val="Calibri"/>
      <family val="2"/>
      <scheme val="minor"/>
    </font>
    <font>
      <b/>
      <sz val="11"/>
      <color rgb="FF0000FF"/>
      <name val="Calibri"/>
      <family val="2"/>
      <scheme val="minor"/>
    </font>
    <font>
      <b/>
      <i/>
      <sz val="11"/>
      <color theme="0"/>
      <name val="Calibri"/>
      <family val="2"/>
      <scheme val="minor"/>
    </font>
    <font>
      <i/>
      <sz val="11"/>
      <name val="Calibri"/>
      <family val="2"/>
      <scheme val="minor"/>
    </font>
    <font>
      <b/>
      <sz val="11"/>
      <name val="Calibri"/>
      <family val="2"/>
      <scheme val="minor"/>
    </font>
    <font>
      <b/>
      <u val="singleAccounting"/>
      <sz val="11"/>
      <name val="Calibri"/>
      <family val="2"/>
      <scheme val="minor"/>
    </font>
    <font>
      <i/>
      <sz val="11"/>
      <color rgb="FF800080"/>
      <name val="Calibri"/>
      <family val="2"/>
      <scheme val="minor"/>
    </font>
    <font>
      <b/>
      <sz val="14"/>
      <color rgb="FFFF0000"/>
      <name val="Calibri"/>
      <family val="2"/>
      <scheme val="minor"/>
    </font>
    <font>
      <i/>
      <sz val="9"/>
      <color theme="1"/>
      <name val="Calibri"/>
      <family val="2"/>
      <scheme val="minor"/>
    </font>
    <font>
      <sz val="12"/>
      <color rgb="FFFF0000"/>
      <name val="Calibri"/>
      <family val="2"/>
      <scheme val="minor"/>
    </font>
    <font>
      <sz val="9"/>
      <color indexed="81"/>
      <name val="Tahoma"/>
      <family val="2"/>
    </font>
    <font>
      <b/>
      <sz val="9"/>
      <color indexed="81"/>
      <name val="Tahoma"/>
      <family val="2"/>
    </font>
    <font>
      <b/>
      <i/>
      <u val="singleAccounting"/>
      <sz val="11"/>
      <name val="Calibri"/>
      <family val="2"/>
      <scheme val="minor"/>
    </font>
    <font>
      <i/>
      <sz val="11"/>
      <color rgb="FFFF0000"/>
      <name val="Calibri"/>
      <family val="2"/>
      <scheme val="minor"/>
    </font>
    <font>
      <i/>
      <sz val="14"/>
      <color rgb="FFFF0000"/>
      <name val="Calibri"/>
      <family val="2"/>
      <scheme val="minor"/>
    </font>
    <font>
      <sz val="18"/>
      <color rgb="FFFF0000"/>
      <name val="Calibri"/>
      <family val="2"/>
      <scheme val="minor"/>
    </font>
    <font>
      <b/>
      <u/>
      <sz val="11"/>
      <name val="Calibri"/>
      <family val="2"/>
      <scheme val="minor"/>
    </font>
    <font>
      <sz val="11"/>
      <color rgb="FF000000"/>
      <name val="Calibri"/>
      <family val="2"/>
      <scheme val="minor"/>
    </font>
  </fonts>
  <fills count="13">
    <fill>
      <patternFill patternType="none"/>
    </fill>
    <fill>
      <patternFill patternType="gray125"/>
    </fill>
    <fill>
      <patternFill patternType="solid">
        <fgColor rgb="FFFFCC99"/>
      </patternFill>
    </fill>
    <fill>
      <patternFill patternType="solid">
        <fgColor theme="1"/>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diagonal/>
    </border>
    <border>
      <left/>
      <right/>
      <top style="thin">
        <color indexed="64"/>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2" borderId="2" applyNumberFormat="0" applyAlignment="0" applyProtection="0"/>
  </cellStyleXfs>
  <cellXfs count="215">
    <xf numFmtId="0" fontId="0" fillId="0" borderId="0" xfId="0"/>
    <xf numFmtId="0" fontId="0" fillId="0" borderId="1" xfId="0" applyBorder="1"/>
    <xf numFmtId="165" fontId="0" fillId="0" borderId="0" xfId="1" applyNumberFormat="1" applyFont="1"/>
    <xf numFmtId="166" fontId="0" fillId="0" borderId="0" xfId="1" applyNumberFormat="1" applyFont="1"/>
    <xf numFmtId="166" fontId="0" fillId="0" borderId="1" xfId="1" applyNumberFormat="1" applyFont="1" applyBorder="1"/>
    <xf numFmtId="9" fontId="0" fillId="0" borderId="0" xfId="2" applyFont="1"/>
    <xf numFmtId="0" fontId="2" fillId="0" borderId="0" xfId="0" applyFont="1"/>
    <xf numFmtId="166" fontId="2" fillId="0" borderId="0" xfId="1" applyNumberFormat="1" applyFont="1"/>
    <xf numFmtId="0" fontId="4" fillId="0" borderId="0" xfId="0" applyFont="1" applyAlignment="1">
      <alignment horizontal="left" indent="2"/>
    </xf>
    <xf numFmtId="0" fontId="4" fillId="0" borderId="0" xfId="0" applyFont="1"/>
    <xf numFmtId="166" fontId="4" fillId="0" borderId="0" xfId="1" applyNumberFormat="1" applyFont="1"/>
    <xf numFmtId="0" fontId="4" fillId="0" borderId="1" xfId="0" applyFont="1" applyBorder="1" applyAlignment="1">
      <alignment horizontal="left" indent="2"/>
    </xf>
    <xf numFmtId="0" fontId="4" fillId="0" borderId="1" xfId="0" applyFont="1" applyBorder="1"/>
    <xf numFmtId="166" fontId="4" fillId="0" borderId="1" xfId="1" applyNumberFormat="1" applyFont="1" applyBorder="1"/>
    <xf numFmtId="9" fontId="2" fillId="0" borderId="0" xfId="2" applyFont="1"/>
    <xf numFmtId="0" fontId="0" fillId="0" borderId="0" xfId="0" applyAlignment="1">
      <alignment horizontal="right"/>
    </xf>
    <xf numFmtId="0" fontId="0" fillId="0" borderId="0" xfId="0" applyAlignment="1">
      <alignment horizontal="left"/>
    </xf>
    <xf numFmtId="0" fontId="2" fillId="0" borderId="0" xfId="0" applyFont="1" applyAlignment="1">
      <alignment horizontal="left"/>
    </xf>
    <xf numFmtId="166" fontId="2" fillId="0" borderId="0" xfId="0" applyNumberFormat="1" applyFont="1"/>
    <xf numFmtId="166" fontId="1" fillId="0" borderId="0" xfId="1" applyNumberFormat="1" applyFont="1"/>
    <xf numFmtId="9" fontId="1" fillId="0" borderId="0" xfId="2" applyFont="1"/>
    <xf numFmtId="9" fontId="0" fillId="0" borderId="1" xfId="2" applyFont="1" applyBorder="1"/>
    <xf numFmtId="166" fontId="0" fillId="0" borderId="0" xfId="0" applyNumberFormat="1"/>
    <xf numFmtId="9" fontId="0" fillId="0" borderId="0" xfId="2" applyFont="1" applyFill="1" applyBorder="1"/>
    <xf numFmtId="0" fontId="2" fillId="0" borderId="0" xfId="0" applyFont="1" applyAlignment="1">
      <alignment horizontal="right"/>
    </xf>
    <xf numFmtId="0" fontId="0" fillId="0" borderId="1" xfId="0" applyBorder="1" applyAlignment="1">
      <alignment horizontal="right"/>
    </xf>
    <xf numFmtId="166" fontId="0" fillId="0" borderId="0" xfId="1" applyNumberFormat="1" applyFont="1" applyAlignment="1">
      <alignment horizontal="right"/>
    </xf>
    <xf numFmtId="166" fontId="0" fillId="0" borderId="1" xfId="1" applyNumberFormat="1" applyFont="1" applyBorder="1" applyAlignment="1">
      <alignment horizontal="right"/>
    </xf>
    <xf numFmtId="166" fontId="2" fillId="0" borderId="0" xfId="1" applyNumberFormat="1" applyFont="1" applyAlignment="1">
      <alignment horizontal="right"/>
    </xf>
    <xf numFmtId="9" fontId="0" fillId="0" borderId="0" xfId="0" applyNumberFormat="1"/>
    <xf numFmtId="165" fontId="0" fillId="0" borderId="0" xfId="0" applyNumberFormat="1"/>
    <xf numFmtId="14" fontId="0" fillId="0" borderId="0" xfId="0" applyNumberFormat="1"/>
    <xf numFmtId="49" fontId="2" fillId="0" borderId="0" xfId="0" applyNumberFormat="1" applyFont="1" applyAlignment="1">
      <alignment horizontal="center"/>
    </xf>
    <xf numFmtId="0" fontId="0" fillId="0" borderId="0" xfId="0" applyAlignment="1">
      <alignment horizontal="center"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wrapText="1"/>
    </xf>
    <xf numFmtId="0" fontId="7" fillId="0" borderId="0" xfId="0" applyFont="1"/>
    <xf numFmtId="0" fontId="7" fillId="0" borderId="0" xfId="0" applyFont="1" applyAlignment="1">
      <alignment horizontal="right"/>
    </xf>
    <xf numFmtId="0" fontId="9" fillId="0" borderId="0" xfId="0" applyFont="1" applyAlignment="1">
      <alignment horizontal="left"/>
    </xf>
    <xf numFmtId="0" fontId="8" fillId="5" borderId="0" xfId="0" applyFont="1" applyFill="1" applyAlignment="1">
      <alignment horizontal="left"/>
    </xf>
    <xf numFmtId="0" fontId="8" fillId="5" borderId="0" xfId="0" applyFont="1" applyFill="1"/>
    <xf numFmtId="0" fontId="8" fillId="5" borderId="0" xfId="0" applyFont="1" applyFill="1" applyAlignment="1">
      <alignment horizontal="right"/>
    </xf>
    <xf numFmtId="0" fontId="8" fillId="0" borderId="0" xfId="0" applyFont="1" applyAlignment="1">
      <alignment horizontal="left"/>
    </xf>
    <xf numFmtId="0" fontId="8" fillId="0" borderId="0" xfId="0" applyFont="1"/>
    <xf numFmtId="0" fontId="8" fillId="0" borderId="0" xfId="0" applyFont="1" applyAlignment="1">
      <alignment horizontal="right"/>
    </xf>
    <xf numFmtId="166" fontId="11" fillId="0" borderId="0" xfId="1" applyNumberFormat="1" applyFont="1"/>
    <xf numFmtId="166" fontId="11" fillId="0" borderId="0" xfId="1" applyNumberFormat="1" applyFont="1" applyFill="1"/>
    <xf numFmtId="166" fontId="12" fillId="0" borderId="0" xfId="1" applyNumberFormat="1" applyFont="1" applyFill="1"/>
    <xf numFmtId="166" fontId="12" fillId="0" borderId="1" xfId="1" applyNumberFormat="1" applyFont="1" applyFill="1" applyBorder="1"/>
    <xf numFmtId="0" fontId="11" fillId="0" borderId="0" xfId="0" applyFont="1"/>
    <xf numFmtId="0" fontId="13" fillId="0" borderId="0" xfId="0" applyFont="1"/>
    <xf numFmtId="0" fontId="4" fillId="0" borderId="0" xfId="0" applyFont="1" applyAlignment="1">
      <alignment horizontal="right"/>
    </xf>
    <xf numFmtId="0" fontId="17" fillId="0" borderId="0" xfId="0" applyFont="1"/>
    <xf numFmtId="167" fontId="13" fillId="0" borderId="0" xfId="0" applyNumberFormat="1" applyFont="1"/>
    <xf numFmtId="166" fontId="11" fillId="0" borderId="0" xfId="1" applyNumberFormat="1" applyFont="1" applyAlignment="1">
      <alignment horizontal="right"/>
    </xf>
    <xf numFmtId="166" fontId="11" fillId="0" borderId="1" xfId="1" applyNumberFormat="1" applyFont="1" applyBorder="1" applyAlignment="1">
      <alignment horizontal="right"/>
    </xf>
    <xf numFmtId="0" fontId="13" fillId="0" borderId="0" xfId="0" applyFont="1" applyAlignment="1">
      <alignment horizontal="left"/>
    </xf>
    <xf numFmtId="0" fontId="6" fillId="5" borderId="0" xfId="0" applyFont="1" applyFill="1"/>
    <xf numFmtId="0" fontId="0" fillId="6" borderId="0" xfId="0" applyFill="1" applyAlignment="1">
      <alignment horizontal="center" vertical="center" wrapText="1"/>
    </xf>
    <xf numFmtId="0" fontId="2" fillId="6" borderId="0" xfId="0" applyFont="1" applyFill="1"/>
    <xf numFmtId="49" fontId="2" fillId="6" borderId="0" xfId="0" applyNumberFormat="1" applyFont="1" applyFill="1" applyAlignment="1">
      <alignment horizontal="center"/>
    </xf>
    <xf numFmtId="0" fontId="5" fillId="0" borderId="0" xfId="3" applyFill="1" applyBorder="1"/>
    <xf numFmtId="0" fontId="6" fillId="0" borderId="0" xfId="0" applyFont="1" applyAlignment="1">
      <alignment horizontal="center"/>
    </xf>
    <xf numFmtId="0" fontId="19" fillId="5" borderId="0" xfId="0" applyFont="1" applyFill="1" applyAlignment="1">
      <alignment horizontal="left"/>
    </xf>
    <xf numFmtId="166" fontId="18" fillId="0" borderId="0" xfId="1" applyNumberFormat="1" applyFont="1" applyFill="1"/>
    <xf numFmtId="9" fontId="13" fillId="0" borderId="0" xfId="2" applyFont="1"/>
    <xf numFmtId="166" fontId="16" fillId="0" borderId="0" xfId="1" applyNumberFormat="1" applyFont="1" applyFill="1"/>
    <xf numFmtId="168" fontId="0" fillId="0" borderId="0" xfId="1" applyNumberFormat="1" applyFont="1"/>
    <xf numFmtId="0" fontId="13" fillId="0" borderId="0" xfId="0" applyFont="1" applyAlignment="1">
      <alignment horizontal="center"/>
    </xf>
    <xf numFmtId="9" fontId="16" fillId="0" borderId="0" xfId="2" applyFont="1"/>
    <xf numFmtId="0" fontId="20" fillId="0" borderId="0" xfId="0" applyFont="1" applyAlignment="1">
      <alignment horizontal="right"/>
    </xf>
    <xf numFmtId="0" fontId="16" fillId="0" borderId="0" xfId="0" applyFont="1" applyAlignment="1">
      <alignment horizontal="left"/>
    </xf>
    <xf numFmtId="0" fontId="16" fillId="0" borderId="0" xfId="0" applyFont="1"/>
    <xf numFmtId="0" fontId="2" fillId="7" borderId="0" xfId="0" applyFont="1" applyFill="1" applyAlignment="1">
      <alignment horizontal="left"/>
    </xf>
    <xf numFmtId="0" fontId="0" fillId="7" borderId="0" xfId="0" applyFill="1"/>
    <xf numFmtId="0" fontId="0" fillId="7" borderId="0" xfId="0" applyFill="1" applyAlignment="1">
      <alignment horizontal="right"/>
    </xf>
    <xf numFmtId="166" fontId="0" fillId="7" borderId="0" xfId="1" applyNumberFormat="1" applyFont="1" applyFill="1"/>
    <xf numFmtId="0" fontId="22" fillId="0" borderId="0" xfId="0" applyFont="1" applyAlignment="1">
      <alignment horizontal="centerContinuous"/>
    </xf>
    <xf numFmtId="0" fontId="22" fillId="0" borderId="0" xfId="0" applyFont="1"/>
    <xf numFmtId="166" fontId="23" fillId="0" borderId="0" xfId="0" applyNumberFormat="1" applyFont="1"/>
    <xf numFmtId="0" fontId="24" fillId="0" borderId="0" xfId="0" applyFont="1" applyAlignment="1">
      <alignment horizontal="left"/>
    </xf>
    <xf numFmtId="0" fontId="22" fillId="0" borderId="0" xfId="0" applyFont="1" applyAlignment="1">
      <alignment horizontal="center"/>
    </xf>
    <xf numFmtId="0" fontId="25" fillId="0" borderId="0" xfId="0" applyFont="1"/>
    <xf numFmtId="168" fontId="0" fillId="0" borderId="0" xfId="0" applyNumberFormat="1"/>
    <xf numFmtId="15" fontId="0" fillId="0" borderId="0" xfId="0" applyNumberFormat="1"/>
    <xf numFmtId="169" fontId="16" fillId="0" borderId="0" xfId="0" applyNumberFormat="1" applyFont="1"/>
    <xf numFmtId="0" fontId="4" fillId="7" borderId="0" xfId="0" applyFont="1" applyFill="1"/>
    <xf numFmtId="169" fontId="20" fillId="0" borderId="0" xfId="0" applyNumberFormat="1" applyFont="1" applyAlignment="1">
      <alignment horizontal="left"/>
    </xf>
    <xf numFmtId="169" fontId="0" fillId="0" borderId="0" xfId="0" applyNumberFormat="1"/>
    <xf numFmtId="0" fontId="2" fillId="0" borderId="0" xfId="0" applyFont="1" applyAlignment="1">
      <alignment vertical="top" wrapText="1"/>
    </xf>
    <xf numFmtId="0" fontId="24" fillId="0" borderId="0" xfId="0" applyFont="1"/>
    <xf numFmtId="166" fontId="21" fillId="0" borderId="0" xfId="1" applyNumberFormat="1" applyFont="1" applyAlignment="1">
      <alignment horizontal="right"/>
    </xf>
    <xf numFmtId="0" fontId="0" fillId="8" borderId="0" xfId="0" applyFill="1"/>
    <xf numFmtId="0" fontId="11" fillId="9" borderId="3" xfId="3" applyFont="1" applyFill="1" applyBorder="1"/>
    <xf numFmtId="0" fontId="26" fillId="0" borderId="0" xfId="0" applyFont="1"/>
    <xf numFmtId="169" fontId="4" fillId="0" borderId="0" xfId="0" applyNumberFormat="1" applyFont="1"/>
    <xf numFmtId="166" fontId="11" fillId="3" borderId="0" xfId="1" applyNumberFormat="1" applyFont="1" applyFill="1"/>
    <xf numFmtId="166" fontId="11" fillId="4" borderId="0" xfId="1" applyNumberFormat="1" applyFont="1" applyFill="1"/>
    <xf numFmtId="166" fontId="11" fillId="0" borderId="1" xfId="1" applyNumberFormat="1" applyFont="1" applyBorder="1"/>
    <xf numFmtId="166" fontId="11" fillId="4" borderId="1" xfId="1" applyNumberFormat="1" applyFont="1" applyFill="1" applyBorder="1"/>
    <xf numFmtId="15" fontId="11" fillId="0" borderId="0" xfId="0" applyNumberFormat="1" applyFont="1"/>
    <xf numFmtId="15" fontId="11" fillId="0" borderId="1" xfId="0" applyNumberFormat="1" applyFont="1" applyBorder="1"/>
    <xf numFmtId="166" fontId="0" fillId="0" borderId="0" xfId="1" applyNumberFormat="1" applyFont="1" applyFill="1"/>
    <xf numFmtId="166" fontId="5" fillId="0" borderId="0" xfId="1" applyNumberFormat="1" applyFont="1" applyFill="1" applyBorder="1"/>
    <xf numFmtId="0" fontId="0" fillId="0" borderId="4" xfId="0" applyBorder="1"/>
    <xf numFmtId="9" fontId="11" fillId="0" borderId="6" xfId="3" applyNumberFormat="1" applyFont="1" applyFill="1" applyBorder="1"/>
    <xf numFmtId="0" fontId="2" fillId="0" borderId="4" xfId="0" applyFont="1" applyBorder="1"/>
    <xf numFmtId="166" fontId="11" fillId="0" borderId="0" xfId="1" applyNumberFormat="1" applyFont="1" applyFill="1" applyBorder="1"/>
    <xf numFmtId="166" fontId="2" fillId="0" borderId="4" xfId="1" applyNumberFormat="1" applyFont="1" applyFill="1" applyBorder="1"/>
    <xf numFmtId="165" fontId="2" fillId="0" borderId="0" xfId="0" applyNumberFormat="1" applyFont="1"/>
    <xf numFmtId="170" fontId="11" fillId="9" borderId="2" xfId="3" applyNumberFormat="1" applyFont="1" applyFill="1"/>
    <xf numFmtId="167" fontId="11" fillId="9" borderId="2" xfId="3" applyNumberFormat="1" applyFont="1" applyFill="1"/>
    <xf numFmtId="169" fontId="11" fillId="9" borderId="2" xfId="3" applyNumberFormat="1" applyFont="1" applyFill="1"/>
    <xf numFmtId="169" fontId="11" fillId="9" borderId="5" xfId="3" applyNumberFormat="1" applyFont="1" applyFill="1" applyBorder="1"/>
    <xf numFmtId="9" fontId="4" fillId="0" borderId="0" xfId="2" applyFont="1"/>
    <xf numFmtId="0" fontId="2" fillId="10" borderId="0" xfId="0" applyFont="1" applyFill="1" applyAlignment="1">
      <alignment horizontal="left"/>
    </xf>
    <xf numFmtId="0" fontId="0" fillId="10" borderId="0" xfId="0" applyFill="1"/>
    <xf numFmtId="166" fontId="15" fillId="0" borderId="0" xfId="0" applyNumberFormat="1" applyFont="1"/>
    <xf numFmtId="166" fontId="0" fillId="0" borderId="4" xfId="0" applyNumberFormat="1" applyBorder="1"/>
    <xf numFmtId="170" fontId="0" fillId="0" borderId="0" xfId="0" applyNumberFormat="1"/>
    <xf numFmtId="171" fontId="0" fillId="0" borderId="0" xfId="0" applyNumberFormat="1"/>
    <xf numFmtId="170" fontId="2" fillId="0" borderId="0" xfId="0" applyNumberFormat="1" applyFont="1"/>
    <xf numFmtId="9" fontId="4" fillId="8" borderId="0" xfId="2" applyFont="1" applyFill="1"/>
    <xf numFmtId="170" fontId="11" fillId="0" borderId="0" xfId="3" applyNumberFormat="1" applyFont="1" applyFill="1" applyBorder="1"/>
    <xf numFmtId="170" fontId="2" fillId="8" borderId="0" xfId="0" applyNumberFormat="1" applyFont="1" applyFill="1"/>
    <xf numFmtId="167" fontId="11" fillId="8" borderId="0" xfId="3" applyNumberFormat="1" applyFont="1" applyFill="1" applyBorder="1"/>
    <xf numFmtId="0" fontId="2" fillId="8" borderId="0" xfId="0" applyFont="1" applyFill="1"/>
    <xf numFmtId="170" fontId="11" fillId="8" borderId="0" xfId="3" applyNumberFormat="1" applyFont="1" applyFill="1" applyBorder="1"/>
    <xf numFmtId="170" fontId="0" fillId="8" borderId="0" xfId="0" applyNumberFormat="1" applyFill="1"/>
    <xf numFmtId="171" fontId="0" fillId="8" borderId="0" xfId="0" applyNumberFormat="1" applyFill="1"/>
    <xf numFmtId="166" fontId="0" fillId="0" borderId="0" xfId="1" applyNumberFormat="1" applyFont="1" applyFill="1" applyBorder="1"/>
    <xf numFmtId="166" fontId="2" fillId="0" borderId="0" xfId="1" applyNumberFormat="1" applyFont="1" applyFill="1" applyBorder="1"/>
    <xf numFmtId="9" fontId="4" fillId="0" borderId="0" xfId="2" applyFont="1" applyFill="1" applyBorder="1"/>
    <xf numFmtId="169" fontId="11" fillId="0" borderId="0" xfId="3" applyNumberFormat="1" applyFont="1" applyFill="1" applyBorder="1"/>
    <xf numFmtId="167" fontId="11" fillId="0" borderId="0" xfId="3" applyNumberFormat="1" applyFont="1" applyFill="1" applyBorder="1"/>
    <xf numFmtId="0" fontId="0" fillId="0" borderId="3" xfId="0" applyBorder="1"/>
    <xf numFmtId="0" fontId="10" fillId="0" borderId="7" xfId="0" applyFont="1" applyBorder="1"/>
    <xf numFmtId="0" fontId="0" fillId="0" borderId="8" xfId="0" applyBorder="1"/>
    <xf numFmtId="0" fontId="0" fillId="0" borderId="9" xfId="0" applyBorder="1"/>
    <xf numFmtId="0" fontId="0" fillId="0" borderId="10" xfId="0" applyBorder="1"/>
    <xf numFmtId="0" fontId="2" fillId="0" borderId="9" xfId="0" applyFont="1" applyBorder="1" applyAlignment="1">
      <alignment horizontal="right"/>
    </xf>
    <xf numFmtId="0" fontId="2" fillId="0" borderId="10" xfId="0" applyFont="1" applyBorder="1" applyAlignment="1">
      <alignment horizontal="right"/>
    </xf>
    <xf numFmtId="0" fontId="4" fillId="0" borderId="9" xfId="0" applyFont="1" applyBorder="1"/>
    <xf numFmtId="0" fontId="0" fillId="0" borderId="11" xfId="0" applyBorder="1"/>
    <xf numFmtId="0" fontId="0" fillId="0" borderId="12" xfId="0" applyBorder="1"/>
    <xf numFmtId="9" fontId="11" fillId="0" borderId="0" xfId="0" applyNumberFormat="1" applyFont="1"/>
    <xf numFmtId="9" fontId="11" fillId="0" borderId="1" xfId="0" applyNumberFormat="1" applyFont="1" applyBorder="1"/>
    <xf numFmtId="9" fontId="11" fillId="0" borderId="1" xfId="0" applyNumberFormat="1" applyFont="1" applyBorder="1" applyAlignment="1">
      <alignment vertical="center"/>
    </xf>
    <xf numFmtId="0" fontId="11" fillId="0" borderId="1" xfId="0" applyFont="1" applyBorder="1"/>
    <xf numFmtId="165" fontId="11" fillId="0" borderId="0" xfId="1" applyNumberFormat="1" applyFont="1"/>
    <xf numFmtId="0" fontId="7" fillId="8" borderId="0" xfId="0" applyFont="1" applyFill="1"/>
    <xf numFmtId="0" fontId="2" fillId="6" borderId="0" xfId="0" applyFont="1" applyFill="1" applyAlignment="1">
      <alignment vertical="center"/>
    </xf>
    <xf numFmtId="0" fontId="2" fillId="6" borderId="0" xfId="0" applyFont="1" applyFill="1" applyAlignment="1">
      <alignment horizontal="right" vertical="center"/>
    </xf>
    <xf numFmtId="0" fontId="2" fillId="6" borderId="0" xfId="0" applyFont="1" applyFill="1" applyAlignment="1">
      <alignment horizontal="center" vertical="center" wrapText="1"/>
    </xf>
    <xf numFmtId="0" fontId="2" fillId="10" borderId="0" xfId="0" applyFont="1" applyFill="1"/>
    <xf numFmtId="0" fontId="2" fillId="11" borderId="0" xfId="0" applyFont="1" applyFill="1" applyAlignment="1">
      <alignment vertical="center"/>
    </xf>
    <xf numFmtId="0" fontId="2" fillId="11" borderId="0" xfId="0" applyFont="1" applyFill="1" applyAlignment="1">
      <alignment horizontal="right" vertical="center"/>
    </xf>
    <xf numFmtId="0" fontId="2" fillId="11" borderId="0" xfId="0" applyFont="1" applyFill="1" applyAlignment="1">
      <alignment horizontal="center" vertical="center" wrapText="1"/>
    </xf>
    <xf numFmtId="0" fontId="19" fillId="5" borderId="0" xfId="0" applyFont="1" applyFill="1" applyAlignment="1">
      <alignment horizontal="right"/>
    </xf>
    <xf numFmtId="0" fontId="29" fillId="0" borderId="0" xfId="0" applyFont="1" applyAlignment="1">
      <alignment horizontal="centerContinuous"/>
    </xf>
    <xf numFmtId="0" fontId="7" fillId="10" borderId="0" xfId="0" applyFont="1" applyFill="1"/>
    <xf numFmtId="0" fontId="0" fillId="0" borderId="0" xfId="0" applyAlignment="1">
      <alignment vertical="top"/>
    </xf>
    <xf numFmtId="170" fontId="11" fillId="0" borderId="0" xfId="0" applyNumberFormat="1" applyFont="1"/>
    <xf numFmtId="170" fontId="12" fillId="0" borderId="0" xfId="0" applyNumberFormat="1" applyFont="1"/>
    <xf numFmtId="170" fontId="12" fillId="0" borderId="1" xfId="0" applyNumberFormat="1" applyFont="1" applyBorder="1"/>
    <xf numFmtId="0" fontId="4" fillId="0" borderId="0" xfId="0" applyFont="1" applyAlignment="1">
      <alignment horizontal="left" indent="1"/>
    </xf>
    <xf numFmtId="168" fontId="4" fillId="0" borderId="0" xfId="1" applyNumberFormat="1" applyFont="1"/>
    <xf numFmtId="0" fontId="30" fillId="0" borderId="0" xfId="0" applyFont="1" applyAlignment="1">
      <alignment horizontal="left"/>
    </xf>
    <xf numFmtId="0" fontId="31" fillId="0" borderId="0" xfId="0" applyFont="1" applyAlignment="1">
      <alignment horizontal="left"/>
    </xf>
    <xf numFmtId="0" fontId="11" fillId="9" borderId="3" xfId="0" applyFont="1" applyFill="1" applyBorder="1"/>
    <xf numFmtId="0" fontId="11" fillId="0" borderId="3" xfId="0" applyFont="1" applyBorder="1"/>
    <xf numFmtId="0" fontId="14" fillId="0" borderId="3" xfId="0" applyFont="1" applyBorder="1"/>
    <xf numFmtId="0" fontId="15" fillId="0" borderId="3" xfId="0" applyFont="1" applyBorder="1"/>
    <xf numFmtId="169" fontId="4" fillId="0" borderId="0" xfId="1" applyNumberFormat="1" applyFont="1"/>
    <xf numFmtId="169" fontId="1" fillId="0" borderId="0" xfId="1" applyNumberFormat="1" applyFont="1"/>
    <xf numFmtId="0" fontId="0" fillId="12" borderId="0" xfId="0" applyFill="1"/>
    <xf numFmtId="0" fontId="32" fillId="12" borderId="0" xfId="0" applyFont="1" applyFill="1"/>
    <xf numFmtId="0" fontId="4" fillId="0" borderId="0" xfId="0" applyFont="1" applyAlignment="1">
      <alignment vertical="center" wrapText="1"/>
    </xf>
    <xf numFmtId="9" fontId="11" fillId="9" borderId="2" xfId="2" applyFont="1" applyFill="1" applyBorder="1"/>
    <xf numFmtId="169" fontId="4" fillId="0" borderId="0" xfId="1" applyNumberFormat="1" applyFont="1" applyFill="1"/>
    <xf numFmtId="9" fontId="4" fillId="0" borderId="0" xfId="0" applyNumberFormat="1" applyFont="1"/>
    <xf numFmtId="0" fontId="0" fillId="0" borderId="3" xfId="0" applyBorder="1" applyAlignment="1">
      <alignment horizontal="left" vertical="top" wrapText="1"/>
    </xf>
    <xf numFmtId="0" fontId="0" fillId="0" borderId="3" xfId="0" applyBorder="1" applyAlignment="1">
      <alignment horizontal="left" vertical="top"/>
    </xf>
    <xf numFmtId="0" fontId="10" fillId="0" borderId="3"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0" fillId="0" borderId="7" xfId="0" applyBorder="1" applyAlignment="1">
      <alignment horizontal="left" vertical="top" wrapText="1"/>
    </xf>
    <xf numFmtId="0" fontId="0" fillId="0" borderId="4"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left" vertical="top"/>
    </xf>
    <xf numFmtId="0" fontId="0" fillId="0" borderId="12" xfId="0" applyBorder="1" applyAlignment="1">
      <alignment horizontal="left" vertical="top"/>
    </xf>
    <xf numFmtId="0" fontId="8" fillId="5" borderId="0" xfId="0" applyFont="1" applyFill="1" applyAlignment="1">
      <alignment horizontal="center"/>
    </xf>
    <xf numFmtId="0" fontId="0" fillId="4" borderId="0" xfId="0" applyFill="1" applyAlignment="1">
      <alignment horizontal="center"/>
    </xf>
    <xf numFmtId="0" fontId="6" fillId="3" borderId="0" xfId="0" applyFont="1" applyFill="1" applyAlignment="1">
      <alignment horizontal="center"/>
    </xf>
    <xf numFmtId="0" fontId="0" fillId="0" borderId="0" xfId="0" applyFill="1" applyAlignment="1">
      <alignment horizontal="left"/>
    </xf>
    <xf numFmtId="0" fontId="0" fillId="0" borderId="0" xfId="0" applyFill="1"/>
    <xf numFmtId="166" fontId="23" fillId="0" borderId="0" xfId="0" applyNumberFormat="1" applyFont="1" applyFill="1"/>
    <xf numFmtId="9" fontId="1" fillId="0" borderId="0" xfId="2" applyFont="1" applyFill="1"/>
    <xf numFmtId="169" fontId="0" fillId="0" borderId="0" xfId="0" applyNumberFormat="1" applyFill="1"/>
    <xf numFmtId="169" fontId="1" fillId="0" borderId="0" xfId="1" applyNumberFormat="1" applyFont="1" applyFill="1"/>
    <xf numFmtId="0" fontId="13" fillId="0" borderId="0" xfId="0" applyFont="1" applyAlignment="1">
      <alignment wrapText="1"/>
    </xf>
    <xf numFmtId="170" fontId="14" fillId="0" borderId="3" xfId="3" applyNumberFormat="1" applyFont="1" applyFill="1" applyBorder="1"/>
    <xf numFmtId="166" fontId="5" fillId="0" borderId="0" xfId="3" applyNumberFormat="1" applyFill="1" applyBorder="1"/>
    <xf numFmtId="0" fontId="2" fillId="0" borderId="0" xfId="0" applyFont="1" applyFill="1"/>
    <xf numFmtId="166" fontId="2" fillId="0" borderId="0" xfId="0" applyNumberFormat="1" applyFont="1" applyFill="1"/>
    <xf numFmtId="9" fontId="11" fillId="0" borderId="0" xfId="0" applyNumberFormat="1" applyFont="1" applyFill="1"/>
    <xf numFmtId="0" fontId="11" fillId="0" borderId="0" xfId="0" applyFont="1" applyFill="1"/>
    <xf numFmtId="0" fontId="4" fillId="0" borderId="0" xfId="0" applyFont="1" applyFill="1"/>
    <xf numFmtId="0" fontId="16" fillId="0" borderId="3" xfId="0" applyFont="1" applyBorder="1" applyAlignment="1">
      <alignment horizontal="left" vertical="top" wrapText="1"/>
    </xf>
    <xf numFmtId="0" fontId="34" fillId="0" borderId="0" xfId="0" applyFont="1"/>
  </cellXfs>
  <cellStyles count="4">
    <cellStyle name="Comma" xfId="1" builtinId="3"/>
    <cellStyle name="Input" xfId="3" builtinId="2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177400</xdr:colOff>
      <xdr:row>5</xdr:row>
      <xdr:rowOff>43427</xdr:rowOff>
    </xdr:from>
    <xdr:to>
      <xdr:col>40</xdr:col>
      <xdr:colOff>346377</xdr:colOff>
      <xdr:row>26</xdr:row>
      <xdr:rowOff>128941</xdr:rowOff>
    </xdr:to>
    <xdr:pic>
      <xdr:nvPicPr>
        <xdr:cNvPr id="2" name="Picture 1">
          <a:extLst>
            <a:ext uri="{FF2B5EF4-FFF2-40B4-BE49-F238E27FC236}">
              <a16:creationId xmlns:a16="http://schemas.microsoft.com/office/drawing/2014/main" id="{5E00772B-2D8A-64E9-17E7-352471A1C5C0}"/>
            </a:ext>
          </a:extLst>
        </xdr:cNvPr>
        <xdr:cNvPicPr>
          <a:picLocks noChangeAspect="1"/>
        </xdr:cNvPicPr>
      </xdr:nvPicPr>
      <xdr:blipFill>
        <a:blip xmlns:r="http://schemas.openxmlformats.org/officeDocument/2006/relationships" r:embed="rId1"/>
        <a:stretch>
          <a:fillRect/>
        </a:stretch>
      </xdr:blipFill>
      <xdr:spPr>
        <a:xfrm>
          <a:off x="18285483" y="1043552"/>
          <a:ext cx="7471477" cy="4086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8EDC-CC71-43D9-9E82-4CEE40CF690F}">
  <sheetPr>
    <pageSetUpPr fitToPage="1"/>
  </sheetPr>
  <dimension ref="C4:V25"/>
  <sheetViews>
    <sheetView showGridLines="0" tabSelected="1" view="pageBreakPreview" topLeftCell="A2" zoomScale="110" zoomScaleNormal="100" zoomScaleSheetLayoutView="110" workbookViewId="0">
      <selection activeCell="F28" sqref="F28"/>
    </sheetView>
  </sheetViews>
  <sheetFormatPr defaultRowHeight="15" x14ac:dyDescent="0.25"/>
  <cols>
    <col min="2" max="2" width="2.28515625" customWidth="1"/>
    <col min="3" max="3" width="4" customWidth="1"/>
  </cols>
  <sheetData>
    <row r="4" spans="3:19" x14ac:dyDescent="0.25">
      <c r="C4" s="53" t="s">
        <v>229</v>
      </c>
    </row>
    <row r="6" spans="3:19" x14ac:dyDescent="0.25">
      <c r="D6" t="s">
        <v>230</v>
      </c>
    </row>
    <row r="7" spans="3:19" x14ac:dyDescent="0.25">
      <c r="D7" t="s">
        <v>231</v>
      </c>
    </row>
    <row r="8" spans="3:19" x14ac:dyDescent="0.25">
      <c r="D8" t="s">
        <v>232</v>
      </c>
    </row>
    <row r="9" spans="3:19" x14ac:dyDescent="0.25">
      <c r="D9" t="s">
        <v>237</v>
      </c>
    </row>
    <row r="11" spans="3:19" x14ac:dyDescent="0.25">
      <c r="D11" s="6" t="s">
        <v>236</v>
      </c>
    </row>
    <row r="12" spans="3:19" x14ac:dyDescent="0.25">
      <c r="D12" s="170" t="s">
        <v>145</v>
      </c>
      <c r="E12" t="s">
        <v>191</v>
      </c>
    </row>
    <row r="13" spans="3:19" x14ac:dyDescent="0.25">
      <c r="D13" s="171" t="s">
        <v>145</v>
      </c>
      <c r="E13" t="s">
        <v>146</v>
      </c>
    </row>
    <row r="14" spans="3:19" x14ac:dyDescent="0.25">
      <c r="D14" s="136" t="s">
        <v>145</v>
      </c>
      <c r="E14" t="s">
        <v>147</v>
      </c>
    </row>
    <row r="15" spans="3:19" x14ac:dyDescent="0.25">
      <c r="D15" s="172" t="s">
        <v>145</v>
      </c>
      <c r="E15" t="s">
        <v>148</v>
      </c>
    </row>
    <row r="16" spans="3:19" x14ac:dyDescent="0.25">
      <c r="D16" s="173" t="s">
        <v>145</v>
      </c>
      <c r="E16" t="s">
        <v>149</v>
      </c>
      <c r="O16" s="176"/>
      <c r="P16" s="176"/>
      <c r="Q16" s="176"/>
      <c r="R16" s="176"/>
      <c r="S16" s="176"/>
    </row>
    <row r="17" spans="3:22" x14ac:dyDescent="0.25">
      <c r="O17" s="176"/>
      <c r="P17" s="176"/>
      <c r="Q17" s="176"/>
      <c r="R17" s="176"/>
      <c r="S17" s="176"/>
    </row>
    <row r="18" spans="3:22" x14ac:dyDescent="0.25">
      <c r="D18" s="51" t="s">
        <v>234</v>
      </c>
      <c r="O18" s="176"/>
      <c r="P18" s="176"/>
      <c r="Q18" s="176"/>
      <c r="R18" s="176"/>
      <c r="S18" s="176"/>
    </row>
    <row r="19" spans="3:22" x14ac:dyDescent="0.25">
      <c r="D19" s="51" t="s">
        <v>235</v>
      </c>
      <c r="O19" s="176"/>
      <c r="P19" s="176"/>
      <c r="Q19" s="176"/>
      <c r="R19" s="176"/>
      <c r="S19" s="176"/>
    </row>
    <row r="20" spans="3:22" x14ac:dyDescent="0.25">
      <c r="D20" s="51"/>
      <c r="O20" s="176"/>
      <c r="P20" s="176"/>
      <c r="Q20" s="176"/>
      <c r="R20" s="176"/>
      <c r="S20" s="176"/>
    </row>
    <row r="21" spans="3:22" x14ac:dyDescent="0.25">
      <c r="D21" s="51" t="s">
        <v>233</v>
      </c>
    </row>
    <row r="24" spans="3:22" ht="23.25" x14ac:dyDescent="0.35">
      <c r="C24" s="177"/>
      <c r="D24" s="177"/>
      <c r="E24" s="177"/>
      <c r="F24" s="177"/>
      <c r="G24" s="177"/>
      <c r="H24" s="177"/>
      <c r="I24" s="177"/>
      <c r="J24" s="177"/>
      <c r="K24" s="177"/>
      <c r="L24" s="177"/>
      <c r="M24" s="177"/>
      <c r="N24" s="177"/>
      <c r="O24" s="177"/>
      <c r="P24" s="177"/>
      <c r="Q24" s="177"/>
      <c r="R24" s="177"/>
      <c r="S24" s="177"/>
      <c r="T24" s="177"/>
      <c r="U24" s="177"/>
      <c r="V24" s="177"/>
    </row>
    <row r="25" spans="3:22" ht="23.25" x14ac:dyDescent="0.35">
      <c r="C25" s="177"/>
      <c r="D25" s="177"/>
      <c r="E25" s="177"/>
      <c r="F25" s="177"/>
      <c r="G25" s="177"/>
      <c r="H25" s="177"/>
      <c r="I25" s="177"/>
      <c r="J25" s="177"/>
      <c r="K25" s="177"/>
      <c r="L25" s="177"/>
      <c r="M25" s="177"/>
      <c r="N25" s="177"/>
      <c r="O25" s="177"/>
      <c r="P25" s="177"/>
      <c r="Q25" s="177"/>
      <c r="R25" s="177"/>
      <c r="S25" s="177"/>
      <c r="T25" s="177"/>
      <c r="U25" s="177"/>
      <c r="V25" s="177"/>
    </row>
  </sheetData>
  <pageMargins left="0.7" right="0.7" top="0.75" bottom="0.75" header="0.3" footer="0.3"/>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DE5B0-09E9-41DA-8351-033344475FEE}">
  <sheetPr>
    <pageSetUpPr fitToPage="1"/>
  </sheetPr>
  <dimension ref="C3:V52"/>
  <sheetViews>
    <sheetView showGridLines="0" view="pageBreakPreview" zoomScale="70" zoomScaleNormal="85" zoomScaleSheetLayoutView="70" workbookViewId="0">
      <selection activeCell="S34" sqref="S34"/>
    </sheetView>
  </sheetViews>
  <sheetFormatPr defaultRowHeight="15" x14ac:dyDescent="0.25"/>
  <cols>
    <col min="2" max="2" width="2.7109375" customWidth="1"/>
    <col min="3" max="3" width="4.42578125" customWidth="1"/>
    <col min="4" max="4" width="36.5703125" customWidth="1"/>
    <col min="5" max="9" width="10.7109375" customWidth="1"/>
    <col min="10" max="10" width="2.85546875" customWidth="1"/>
    <col min="11" max="11" width="10.140625" style="37" customWidth="1"/>
    <col min="12" max="15" width="10.140625" customWidth="1"/>
    <col min="18" max="18" width="2.42578125" customWidth="1"/>
    <col min="23" max="23" width="2.7109375" customWidth="1"/>
  </cols>
  <sheetData>
    <row r="3" spans="3:22" ht="18.75" x14ac:dyDescent="0.3">
      <c r="C3" s="91" t="s">
        <v>133</v>
      </c>
    </row>
    <row r="5" spans="3:22" ht="17.25" x14ac:dyDescent="0.4">
      <c r="E5" s="78" t="s">
        <v>175</v>
      </c>
      <c r="F5" s="78"/>
      <c r="G5" s="78"/>
      <c r="H5" s="78"/>
      <c r="I5" s="51"/>
      <c r="K5" s="160" t="s">
        <v>104</v>
      </c>
      <c r="L5" s="78"/>
      <c r="M5" s="160"/>
      <c r="N5" s="78"/>
      <c r="O5" s="78"/>
    </row>
    <row r="6" spans="3:22" x14ac:dyDescent="0.25">
      <c r="E6" s="71" t="s">
        <v>180</v>
      </c>
      <c r="F6" s="71" t="s">
        <v>179</v>
      </c>
      <c r="G6" s="71" t="s">
        <v>178</v>
      </c>
      <c r="H6" s="71" t="s">
        <v>177</v>
      </c>
      <c r="I6" s="71" t="s">
        <v>176</v>
      </c>
      <c r="K6" s="71" t="s">
        <v>180</v>
      </c>
      <c r="L6" s="71" t="s">
        <v>179</v>
      </c>
      <c r="M6" s="71" t="s">
        <v>178</v>
      </c>
      <c r="N6" s="71" t="s">
        <v>177</v>
      </c>
      <c r="O6" s="71" t="s">
        <v>176</v>
      </c>
    </row>
    <row r="7" spans="3:22" x14ac:dyDescent="0.25">
      <c r="D7" s="41"/>
      <c r="E7" s="42" t="s">
        <v>43</v>
      </c>
      <c r="F7" s="42" t="s">
        <v>44</v>
      </c>
      <c r="G7" s="42" t="s">
        <v>45</v>
      </c>
      <c r="H7" s="42" t="s">
        <v>42</v>
      </c>
      <c r="I7" s="42" t="s">
        <v>46</v>
      </c>
      <c r="J7" s="41"/>
      <c r="K7" s="159" t="s">
        <v>43</v>
      </c>
      <c r="L7" s="159" t="s">
        <v>44</v>
      </c>
      <c r="M7" s="159" t="s">
        <v>45</v>
      </c>
      <c r="N7" s="159" t="s">
        <v>42</v>
      </c>
      <c r="O7" s="159" t="s">
        <v>46</v>
      </c>
    </row>
    <row r="8" spans="3:22" x14ac:dyDescent="0.25">
      <c r="C8" s="9" t="s">
        <v>264</v>
      </c>
      <c r="E8" s="24"/>
      <c r="F8" s="24"/>
      <c r="G8" s="24"/>
      <c r="H8" s="24"/>
      <c r="I8" s="24"/>
      <c r="J8" s="6"/>
      <c r="K8" s="38"/>
    </row>
    <row r="9" spans="3:22" ht="15" customHeight="1" x14ac:dyDescent="0.25">
      <c r="D9" s="155" t="s">
        <v>134</v>
      </c>
      <c r="E9" s="117"/>
      <c r="F9" s="117"/>
      <c r="G9" s="117"/>
      <c r="H9" s="117"/>
      <c r="I9" s="117"/>
      <c r="J9" s="117"/>
      <c r="K9" s="161"/>
      <c r="L9" s="117"/>
      <c r="M9" s="117"/>
      <c r="N9" s="117"/>
      <c r="O9" s="117"/>
      <c r="S9" s="184" t="s">
        <v>221</v>
      </c>
      <c r="T9" s="184"/>
      <c r="U9" s="184"/>
      <c r="V9" s="184"/>
    </row>
    <row r="10" spans="3:22" x14ac:dyDescent="0.25">
      <c r="D10" s="6"/>
      <c r="K10" s="38"/>
      <c r="S10" s="184"/>
      <c r="T10" s="184"/>
      <c r="U10" s="184"/>
      <c r="V10" s="184"/>
    </row>
    <row r="11" spans="3:22" x14ac:dyDescent="0.25">
      <c r="C11" s="9">
        <v>1</v>
      </c>
      <c r="D11" t="s">
        <v>138</v>
      </c>
      <c r="E11" s="3">
        <v>1750</v>
      </c>
      <c r="F11" s="3">
        <v>2250</v>
      </c>
      <c r="G11" s="3">
        <v>2750</v>
      </c>
      <c r="H11" s="3">
        <v>3200</v>
      </c>
      <c r="I11" s="3">
        <v>3600</v>
      </c>
      <c r="S11" s="184"/>
      <c r="T11" s="184"/>
      <c r="U11" s="184"/>
      <c r="V11" s="184"/>
    </row>
    <row r="12" spans="3:22" x14ac:dyDescent="0.25">
      <c r="C12" s="9">
        <v>2</v>
      </c>
      <c r="D12" t="s">
        <v>125</v>
      </c>
      <c r="E12" s="3">
        <v>1650</v>
      </c>
      <c r="F12" s="3">
        <v>2350</v>
      </c>
      <c r="G12" s="3">
        <v>2900</v>
      </c>
      <c r="H12" s="3">
        <v>3100</v>
      </c>
      <c r="I12" s="3">
        <v>3500</v>
      </c>
      <c r="S12" s="184"/>
      <c r="T12" s="184"/>
      <c r="U12" s="184"/>
      <c r="V12" s="184"/>
    </row>
    <row r="13" spans="3:22" x14ac:dyDescent="0.25">
      <c r="C13" s="9">
        <v>3</v>
      </c>
      <c r="D13" t="s">
        <v>126</v>
      </c>
      <c r="E13" s="5">
        <f>E11/E12</f>
        <v>1.0606060606060606</v>
      </c>
      <c r="F13" s="5">
        <f t="shared" ref="F13:I13" si="0">F11/F12</f>
        <v>0.95744680851063835</v>
      </c>
      <c r="G13" s="5">
        <f t="shared" si="0"/>
        <v>0.94827586206896552</v>
      </c>
      <c r="H13" s="5">
        <f t="shared" si="0"/>
        <v>1.032258064516129</v>
      </c>
      <c r="I13" s="5">
        <f t="shared" si="0"/>
        <v>1.0285714285714285</v>
      </c>
      <c r="S13" s="184"/>
      <c r="T13" s="184"/>
      <c r="U13" s="184"/>
      <c r="V13" s="184"/>
    </row>
    <row r="14" spans="3:22" x14ac:dyDescent="0.25">
      <c r="C14" s="9">
        <v>4</v>
      </c>
      <c r="D14" t="s">
        <v>74</v>
      </c>
      <c r="E14" s="5">
        <v>1.03</v>
      </c>
      <c r="F14" s="5">
        <v>0.89</v>
      </c>
      <c r="G14" s="5">
        <v>0.8</v>
      </c>
      <c r="H14" s="5">
        <v>0.85</v>
      </c>
      <c r="I14" s="5">
        <f>I11/E11-1</f>
        <v>1.0571428571428569</v>
      </c>
      <c r="S14" s="184"/>
      <c r="T14" s="184"/>
      <c r="U14" s="184"/>
      <c r="V14" s="184"/>
    </row>
    <row r="15" spans="3:22" x14ac:dyDescent="0.25">
      <c r="E15" s="3"/>
      <c r="F15" s="3"/>
      <c r="G15" s="3"/>
      <c r="H15" s="3"/>
      <c r="I15" s="3"/>
      <c r="S15" s="184"/>
      <c r="T15" s="184"/>
      <c r="U15" s="184"/>
      <c r="V15" s="184"/>
    </row>
    <row r="16" spans="3:22" x14ac:dyDescent="0.25">
      <c r="C16" s="9">
        <v>5</v>
      </c>
      <c r="D16" t="s">
        <v>137</v>
      </c>
      <c r="E16" s="3">
        <v>1600</v>
      </c>
      <c r="F16" s="3">
        <v>2100</v>
      </c>
      <c r="G16" s="3">
        <v>2500</v>
      </c>
      <c r="H16" s="3">
        <v>3000</v>
      </c>
      <c r="I16" s="3">
        <v>3400</v>
      </c>
      <c r="S16" s="184"/>
      <c r="T16" s="184"/>
      <c r="U16" s="184"/>
      <c r="V16" s="184"/>
    </row>
    <row r="17" spans="3:22" x14ac:dyDescent="0.25">
      <c r="C17" s="9">
        <v>6</v>
      </c>
      <c r="D17" t="s">
        <v>127</v>
      </c>
      <c r="E17" s="5">
        <f>E16/E11</f>
        <v>0.91428571428571426</v>
      </c>
      <c r="F17" s="5">
        <f t="shared" ref="F17:I17" si="1">F16/F11</f>
        <v>0.93333333333333335</v>
      </c>
      <c r="G17" s="5">
        <f t="shared" si="1"/>
        <v>0.90909090909090906</v>
      </c>
      <c r="H17" s="5">
        <f t="shared" si="1"/>
        <v>0.9375</v>
      </c>
      <c r="I17" s="5">
        <f t="shared" si="1"/>
        <v>0.94444444444444442</v>
      </c>
      <c r="S17" s="184"/>
      <c r="T17" s="184"/>
      <c r="U17" s="184"/>
      <c r="V17" s="184"/>
    </row>
    <row r="18" spans="3:22" x14ac:dyDescent="0.25">
      <c r="C18" s="35"/>
      <c r="E18" s="3"/>
      <c r="F18" s="3"/>
      <c r="G18" s="3"/>
      <c r="H18" s="3"/>
      <c r="I18" s="3"/>
      <c r="S18" s="184"/>
      <c r="T18" s="184"/>
      <c r="U18" s="184"/>
      <c r="V18" s="184"/>
    </row>
    <row r="19" spans="3:22" x14ac:dyDescent="0.25">
      <c r="C19" s="9">
        <v>7</v>
      </c>
      <c r="D19" t="s">
        <v>9</v>
      </c>
      <c r="E19" s="3">
        <v>250</v>
      </c>
      <c r="F19" s="3">
        <v>300</v>
      </c>
      <c r="G19" s="3">
        <v>200</v>
      </c>
      <c r="H19" s="3">
        <v>400</v>
      </c>
      <c r="I19" s="3">
        <v>300</v>
      </c>
      <c r="S19" s="162"/>
      <c r="T19" s="162"/>
      <c r="U19" s="162"/>
      <c r="V19" s="162"/>
    </row>
    <row r="20" spans="3:22" x14ac:dyDescent="0.25">
      <c r="C20" s="9">
        <v>8</v>
      </c>
      <c r="D20" t="s">
        <v>128</v>
      </c>
      <c r="E20" s="3">
        <v>250</v>
      </c>
      <c r="F20" s="3">
        <v>325</v>
      </c>
      <c r="G20" s="3">
        <v>175</v>
      </c>
      <c r="H20" s="3">
        <v>350</v>
      </c>
      <c r="I20" s="3">
        <v>200</v>
      </c>
      <c r="S20" s="162"/>
      <c r="T20" s="162"/>
      <c r="U20" s="162"/>
      <c r="V20" s="162"/>
    </row>
    <row r="21" spans="3:22" x14ac:dyDescent="0.25">
      <c r="C21" s="9">
        <v>9</v>
      </c>
      <c r="D21" t="s">
        <v>129</v>
      </c>
      <c r="E21" s="5">
        <f>E19/E20</f>
        <v>1</v>
      </c>
      <c r="F21" s="5">
        <f>F19/F20</f>
        <v>0.92307692307692313</v>
      </c>
      <c r="G21" s="5">
        <f>G19/G20</f>
        <v>1.1428571428571428</v>
      </c>
      <c r="H21" s="5">
        <f>H19/H20</f>
        <v>1.1428571428571428</v>
      </c>
      <c r="I21" s="5">
        <f>I19/I20</f>
        <v>1.5</v>
      </c>
      <c r="S21" s="162"/>
      <c r="T21" s="162"/>
      <c r="U21" s="162"/>
      <c r="V21" s="162"/>
    </row>
    <row r="22" spans="3:22" x14ac:dyDescent="0.25">
      <c r="E22" s="3"/>
      <c r="F22" s="3"/>
      <c r="G22" s="3"/>
      <c r="H22" s="3"/>
      <c r="I22" s="3"/>
      <c r="S22" s="162"/>
      <c r="T22" s="162"/>
      <c r="U22" s="162"/>
      <c r="V22" s="162"/>
    </row>
    <row r="23" spans="3:22" x14ac:dyDescent="0.25">
      <c r="C23" s="9">
        <v>10</v>
      </c>
      <c r="D23" t="s">
        <v>132</v>
      </c>
      <c r="E23" s="3">
        <v>275</v>
      </c>
      <c r="F23" s="3">
        <v>325</v>
      </c>
      <c r="G23" s="3">
        <v>225</v>
      </c>
      <c r="H23" s="3">
        <v>300</v>
      </c>
      <c r="I23" s="3">
        <v>340</v>
      </c>
      <c r="S23" s="162"/>
      <c r="T23" s="162"/>
      <c r="U23" s="162"/>
      <c r="V23" s="162"/>
    </row>
    <row r="24" spans="3:22" x14ac:dyDescent="0.25">
      <c r="C24" s="9">
        <v>11</v>
      </c>
      <c r="D24" t="s">
        <v>127</v>
      </c>
      <c r="E24" s="5">
        <f>E23/E19</f>
        <v>1.1000000000000001</v>
      </c>
      <c r="F24" s="5">
        <f>F23/F19</f>
        <v>1.0833333333333333</v>
      </c>
      <c r="G24" s="5">
        <f>G23/G19</f>
        <v>1.125</v>
      </c>
      <c r="H24" s="5">
        <f>H23/H19</f>
        <v>0.75</v>
      </c>
      <c r="I24" s="5">
        <f>I23/I19</f>
        <v>1.1333333333333333</v>
      </c>
      <c r="S24" s="162"/>
      <c r="T24" s="162"/>
      <c r="U24" s="162"/>
      <c r="V24" s="162"/>
    </row>
    <row r="25" spans="3:22" x14ac:dyDescent="0.25">
      <c r="E25" s="3"/>
      <c r="F25" s="3"/>
      <c r="G25" s="3"/>
      <c r="H25" s="3"/>
      <c r="I25" s="3"/>
      <c r="S25" s="162"/>
      <c r="T25" s="162"/>
      <c r="U25" s="162"/>
      <c r="V25" s="162"/>
    </row>
    <row r="26" spans="3:22" x14ac:dyDescent="0.25">
      <c r="C26" s="9">
        <v>12</v>
      </c>
      <c r="D26" t="s">
        <v>10</v>
      </c>
      <c r="E26" s="3">
        <f>5000+E11-E19</f>
        <v>6500</v>
      </c>
      <c r="F26" s="3">
        <f>E26+F11-F19</f>
        <v>8450</v>
      </c>
      <c r="G26" s="3">
        <f>F26+G11-G19</f>
        <v>11000</v>
      </c>
      <c r="H26" s="3">
        <f>G26+H11-H19</f>
        <v>13800</v>
      </c>
      <c r="I26" s="3">
        <f>H26+I11-I19</f>
        <v>17100</v>
      </c>
      <c r="S26" s="162"/>
      <c r="T26" s="162"/>
      <c r="U26" s="162"/>
      <c r="V26" s="162"/>
    </row>
    <row r="27" spans="3:22" x14ac:dyDescent="0.25">
      <c r="C27" s="9">
        <v>13</v>
      </c>
      <c r="D27" t="s">
        <v>130</v>
      </c>
      <c r="E27" s="3">
        <f>5000+E12-E20</f>
        <v>6400</v>
      </c>
      <c r="F27" s="3">
        <f>E27+F11-F20</f>
        <v>8325</v>
      </c>
      <c r="G27" s="3">
        <f>F27+G11-G20</f>
        <v>10900</v>
      </c>
      <c r="H27" s="3">
        <f>G27+H11-H20</f>
        <v>13750</v>
      </c>
      <c r="I27" s="3">
        <f>H27+I11-I20</f>
        <v>17150</v>
      </c>
      <c r="S27" s="162"/>
      <c r="T27" s="162"/>
      <c r="U27" s="162"/>
      <c r="V27" s="162"/>
    </row>
    <row r="28" spans="3:22" x14ac:dyDescent="0.25">
      <c r="C28" s="9">
        <v>14</v>
      </c>
      <c r="D28" t="s">
        <v>131</v>
      </c>
      <c r="E28" s="5">
        <f>E26/E27</f>
        <v>1.015625</v>
      </c>
      <c r="F28" s="5">
        <f t="shared" ref="F28:I28" si="2">F26/F27</f>
        <v>1.015015015015015</v>
      </c>
      <c r="G28" s="5">
        <f t="shared" si="2"/>
        <v>1.0091743119266054</v>
      </c>
      <c r="H28" s="5">
        <f t="shared" si="2"/>
        <v>1.0036363636363637</v>
      </c>
      <c r="I28" s="5">
        <f t="shared" si="2"/>
        <v>0.99708454810495628</v>
      </c>
      <c r="S28" s="162"/>
      <c r="T28" s="162"/>
      <c r="U28" s="162"/>
      <c r="V28" s="162"/>
    </row>
    <row r="29" spans="3:22" x14ac:dyDescent="0.25">
      <c r="S29" s="162"/>
      <c r="T29" s="162"/>
      <c r="U29" s="162"/>
      <c r="V29" s="162"/>
    </row>
    <row r="30" spans="3:22" x14ac:dyDescent="0.25">
      <c r="S30" s="162"/>
      <c r="T30" s="162"/>
      <c r="U30" s="162"/>
      <c r="V30" s="162"/>
    </row>
    <row r="31" spans="3:22" x14ac:dyDescent="0.25">
      <c r="D31" s="155" t="s">
        <v>135</v>
      </c>
      <c r="E31" s="117"/>
      <c r="F31" s="117"/>
      <c r="G31" s="117"/>
      <c r="H31" s="117"/>
      <c r="I31" s="117"/>
      <c r="J31" s="117"/>
      <c r="K31" s="161"/>
      <c r="L31" s="117"/>
      <c r="M31" s="117"/>
      <c r="N31" s="117"/>
      <c r="O31" s="117"/>
      <c r="S31" s="162"/>
      <c r="T31" s="162"/>
      <c r="U31" s="162"/>
      <c r="V31" s="162"/>
    </row>
    <row r="32" spans="3:22" x14ac:dyDescent="0.25">
      <c r="D32" s="6"/>
      <c r="E32" s="24"/>
      <c r="F32" s="24"/>
      <c r="G32" s="24"/>
      <c r="H32" s="24"/>
      <c r="I32" s="24"/>
      <c r="S32" s="162"/>
      <c r="T32" s="162"/>
      <c r="U32" s="162"/>
      <c r="V32" s="162"/>
    </row>
    <row r="33" spans="3:22" x14ac:dyDescent="0.25">
      <c r="C33" s="9">
        <v>15</v>
      </c>
      <c r="D33" t="s">
        <v>220</v>
      </c>
      <c r="E33" s="3">
        <f>E12*K33</f>
        <v>4455</v>
      </c>
      <c r="F33" s="3">
        <f>F12*L33</f>
        <v>6815</v>
      </c>
      <c r="G33" s="3">
        <f>G12*M33</f>
        <v>9280</v>
      </c>
      <c r="H33" s="3">
        <f>H12*N33</f>
        <v>8680</v>
      </c>
      <c r="I33" s="3">
        <f>I12*O33</f>
        <v>10850</v>
      </c>
      <c r="K33" s="9">
        <v>2.7</v>
      </c>
      <c r="L33" s="9">
        <v>2.9</v>
      </c>
      <c r="M33" s="9">
        <v>3.2</v>
      </c>
      <c r="N33" s="9">
        <v>2.8</v>
      </c>
      <c r="O33" s="9">
        <v>3.1</v>
      </c>
      <c r="S33" s="162"/>
      <c r="T33" s="162"/>
      <c r="U33" s="162"/>
      <c r="V33" s="162"/>
    </row>
    <row r="34" spans="3:22" x14ac:dyDescent="0.25">
      <c r="C34" s="9">
        <v>16</v>
      </c>
      <c r="D34" t="s">
        <v>136</v>
      </c>
      <c r="E34" s="2">
        <f>E33/E12</f>
        <v>2.7</v>
      </c>
      <c r="F34" s="2">
        <f t="shared" ref="F34:I34" si="3">F33/F12</f>
        <v>2.9</v>
      </c>
      <c r="G34" s="2">
        <f t="shared" si="3"/>
        <v>3.2</v>
      </c>
      <c r="H34" s="2">
        <f t="shared" si="3"/>
        <v>2.8</v>
      </c>
      <c r="I34" s="2">
        <f t="shared" si="3"/>
        <v>3.1</v>
      </c>
      <c r="K34" s="9"/>
      <c r="L34" s="9"/>
      <c r="M34" s="9"/>
      <c r="N34" s="9"/>
      <c r="O34" s="9"/>
      <c r="S34" s="162"/>
      <c r="T34" s="162"/>
      <c r="U34" s="162"/>
      <c r="V34" s="162"/>
    </row>
    <row r="35" spans="3:22" x14ac:dyDescent="0.25">
      <c r="C35" s="9">
        <v>17</v>
      </c>
      <c r="D35" t="s">
        <v>143</v>
      </c>
      <c r="E35" s="5">
        <f>E11/E33</f>
        <v>0.39281705948372614</v>
      </c>
      <c r="F35" s="5">
        <f t="shared" ref="F35:I35" si="4">F11/F33</f>
        <v>0.33015407190022011</v>
      </c>
      <c r="G35" s="5">
        <f t="shared" si="4"/>
        <v>0.29633620689655171</v>
      </c>
      <c r="H35" s="5">
        <f t="shared" si="4"/>
        <v>0.3686635944700461</v>
      </c>
      <c r="I35" s="5">
        <f t="shared" si="4"/>
        <v>0.33179723502304148</v>
      </c>
      <c r="K35" s="9"/>
      <c r="L35" s="9"/>
      <c r="M35" s="9"/>
      <c r="N35" s="9"/>
      <c r="O35" s="9"/>
      <c r="S35" s="162"/>
      <c r="T35" s="162"/>
      <c r="U35" s="162"/>
      <c r="V35" s="162"/>
    </row>
    <row r="36" spans="3:22" x14ac:dyDescent="0.25">
      <c r="C36" s="9">
        <v>18</v>
      </c>
      <c r="D36" t="s">
        <v>139</v>
      </c>
      <c r="E36" s="3">
        <f>E33/K36</f>
        <v>25.457142857142856</v>
      </c>
      <c r="F36" s="3">
        <f>F33/L36</f>
        <v>37.861111111111114</v>
      </c>
      <c r="G36" s="3">
        <f>G33/M36</f>
        <v>48.842105263157897</v>
      </c>
      <c r="H36" s="3">
        <f>H33/N36</f>
        <v>48.222222222222221</v>
      </c>
      <c r="I36" s="3">
        <f>I33/O36</f>
        <v>55.641025641025642</v>
      </c>
      <c r="K36" s="9">
        <v>175</v>
      </c>
      <c r="L36" s="9">
        <v>180</v>
      </c>
      <c r="M36" s="9">
        <v>190</v>
      </c>
      <c r="N36" s="9">
        <v>180</v>
      </c>
      <c r="O36" s="9">
        <v>195</v>
      </c>
      <c r="S36" s="162"/>
      <c r="T36" s="162"/>
      <c r="U36" s="162"/>
      <c r="V36" s="162"/>
    </row>
    <row r="37" spans="3:22" x14ac:dyDescent="0.25">
      <c r="C37" s="9">
        <f>C36+1</f>
        <v>19</v>
      </c>
      <c r="D37" t="s">
        <v>140</v>
      </c>
      <c r="E37" s="2">
        <f>E36/K37</f>
        <v>8.4857142857142858</v>
      </c>
      <c r="F37" s="2">
        <f>F36/L37</f>
        <v>7.5722222222222229</v>
      </c>
      <c r="G37" s="2">
        <f>G36/M37</f>
        <v>9.7684210526315791</v>
      </c>
      <c r="H37" s="2">
        <f>H36/N37</f>
        <v>8.0370370370370363</v>
      </c>
      <c r="I37" s="2">
        <f>I36/O37</f>
        <v>7.9487179487179489</v>
      </c>
      <c r="K37" s="9">
        <v>3</v>
      </c>
      <c r="L37" s="9">
        <v>5</v>
      </c>
      <c r="M37" s="9">
        <v>5</v>
      </c>
      <c r="N37" s="9">
        <v>6</v>
      </c>
      <c r="O37" s="9">
        <v>7</v>
      </c>
      <c r="S37" s="162"/>
      <c r="T37" s="162"/>
      <c r="U37" s="162"/>
      <c r="V37" s="162"/>
    </row>
    <row r="38" spans="3:22" x14ac:dyDescent="0.25">
      <c r="E38" s="2"/>
      <c r="F38" s="2"/>
      <c r="G38" s="2"/>
      <c r="H38" s="2"/>
      <c r="I38" s="2"/>
      <c r="K38" s="9"/>
      <c r="L38" s="9"/>
      <c r="M38" s="9"/>
      <c r="N38" s="9"/>
      <c r="O38" s="9"/>
      <c r="S38" s="162"/>
      <c r="T38" s="162"/>
      <c r="U38" s="162"/>
      <c r="V38" s="162"/>
    </row>
    <row r="39" spans="3:22" x14ac:dyDescent="0.25">
      <c r="C39" s="9">
        <f>C37+1</f>
        <v>20</v>
      </c>
      <c r="D39" t="s">
        <v>144</v>
      </c>
      <c r="E39" s="3">
        <f>E33*K39</f>
        <v>11137.5</v>
      </c>
      <c r="F39" s="3">
        <f>F33*L39</f>
        <v>18400.5</v>
      </c>
      <c r="G39" s="3">
        <f>G33*M39</f>
        <v>27840</v>
      </c>
      <c r="H39" s="3">
        <f>H33*N39</f>
        <v>24304</v>
      </c>
      <c r="I39" s="3">
        <f>I33*O39</f>
        <v>29295.000000000004</v>
      </c>
      <c r="K39" s="9">
        <v>2.5</v>
      </c>
      <c r="L39" s="9">
        <v>2.7</v>
      </c>
      <c r="M39" s="9">
        <v>3</v>
      </c>
      <c r="N39" s="9">
        <v>2.8</v>
      </c>
      <c r="O39" s="9">
        <v>2.7</v>
      </c>
      <c r="S39" s="162"/>
      <c r="T39" s="162"/>
      <c r="U39" s="162"/>
      <c r="V39" s="162"/>
    </row>
    <row r="40" spans="3:22" x14ac:dyDescent="0.25">
      <c r="C40" s="9">
        <f>C39+1</f>
        <v>21</v>
      </c>
      <c r="D40" t="s">
        <v>141</v>
      </c>
      <c r="E40" s="3">
        <f>E39/K40</f>
        <v>60.202702702702702</v>
      </c>
      <c r="F40" s="3">
        <f>F39/L40</f>
        <v>96.844736842105263</v>
      </c>
      <c r="G40" s="3">
        <f>G39/M40</f>
        <v>150.48648648648648</v>
      </c>
      <c r="H40" s="3">
        <f>H39/N40</f>
        <v>121.52</v>
      </c>
      <c r="I40" s="3">
        <f>I39/O40</f>
        <v>142.90243902439028</v>
      </c>
      <c r="K40" s="9">
        <v>185</v>
      </c>
      <c r="L40" s="9">
        <v>190</v>
      </c>
      <c r="M40" s="9">
        <v>185</v>
      </c>
      <c r="N40" s="9">
        <v>200</v>
      </c>
      <c r="O40" s="9">
        <v>205</v>
      </c>
      <c r="S40" s="162"/>
      <c r="T40" s="162"/>
      <c r="U40" s="162"/>
      <c r="V40" s="162"/>
    </row>
    <row r="41" spans="3:22" x14ac:dyDescent="0.25">
      <c r="C41" s="9">
        <f>C40+1</f>
        <v>22</v>
      </c>
      <c r="D41" t="s">
        <v>142</v>
      </c>
      <c r="E41" s="2">
        <f>E40/K37</f>
        <v>20.067567567567568</v>
      </c>
      <c r="F41" s="2">
        <f>F40/L37</f>
        <v>19.368947368421054</v>
      </c>
      <c r="G41" s="2">
        <f>G40/M37</f>
        <v>30.097297297297295</v>
      </c>
      <c r="H41" s="2">
        <f>H40/N37</f>
        <v>20.253333333333334</v>
      </c>
      <c r="I41" s="2">
        <f>I40/O37</f>
        <v>20.414634146341466</v>
      </c>
    </row>
    <row r="42" spans="3:22" x14ac:dyDescent="0.25">
      <c r="C42" s="9"/>
      <c r="E42" s="3"/>
      <c r="F42" s="3"/>
      <c r="G42" s="3"/>
      <c r="H42" s="3"/>
      <c r="I42" s="3"/>
    </row>
    <row r="43" spans="3:22" x14ac:dyDescent="0.25">
      <c r="E43" s="3"/>
      <c r="F43" s="3"/>
      <c r="G43" s="3"/>
      <c r="H43" s="3"/>
      <c r="I43" s="3"/>
    </row>
    <row r="44" spans="3:22" x14ac:dyDescent="0.25">
      <c r="E44" s="3"/>
      <c r="F44" s="3"/>
      <c r="G44" s="3"/>
      <c r="H44" s="3"/>
      <c r="I44" s="3"/>
    </row>
    <row r="45" spans="3:22" x14ac:dyDescent="0.25">
      <c r="E45" s="5"/>
      <c r="F45" s="5"/>
      <c r="G45" s="5"/>
      <c r="H45" s="5"/>
      <c r="I45" s="5"/>
    </row>
    <row r="46" spans="3:22" x14ac:dyDescent="0.25">
      <c r="E46" s="3"/>
      <c r="F46" s="3"/>
      <c r="G46" s="3"/>
      <c r="H46" s="3"/>
      <c r="I46" s="3"/>
    </row>
    <row r="47" spans="3:22" x14ac:dyDescent="0.25">
      <c r="E47" s="3"/>
      <c r="F47" s="3"/>
      <c r="G47" s="3"/>
      <c r="H47" s="3"/>
      <c r="I47" s="3"/>
    </row>
    <row r="48" spans="3:22" x14ac:dyDescent="0.25">
      <c r="E48" s="5"/>
      <c r="F48" s="5"/>
      <c r="G48" s="5"/>
      <c r="H48" s="5"/>
      <c r="I48" s="5"/>
    </row>
    <row r="49" spans="5:9" x14ac:dyDescent="0.25">
      <c r="E49" s="3"/>
      <c r="F49" s="3"/>
      <c r="G49" s="3"/>
      <c r="H49" s="3"/>
      <c r="I49" s="3"/>
    </row>
    <row r="50" spans="5:9" x14ac:dyDescent="0.25">
      <c r="E50" s="3"/>
      <c r="F50" s="3"/>
      <c r="G50" s="3"/>
      <c r="H50" s="3"/>
      <c r="I50" s="3"/>
    </row>
    <row r="51" spans="5:9" x14ac:dyDescent="0.25">
      <c r="E51" s="3"/>
      <c r="F51" s="3"/>
      <c r="G51" s="3"/>
      <c r="H51" s="3"/>
      <c r="I51" s="3"/>
    </row>
    <row r="52" spans="5:9" x14ac:dyDescent="0.25">
      <c r="E52" s="5"/>
      <c r="F52" s="5"/>
      <c r="G52" s="5"/>
      <c r="H52" s="5"/>
      <c r="I52" s="5"/>
    </row>
  </sheetData>
  <mergeCells count="1">
    <mergeCell ref="S9:V18"/>
  </mergeCells>
  <pageMargins left="0.7" right="0.7" top="0.75" bottom="0.75" header="0.3" footer="0.3"/>
  <pageSetup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7A442-5393-48E3-B3EE-60200E47806B}">
  <sheetPr>
    <pageSetUpPr fitToPage="1"/>
  </sheetPr>
  <dimension ref="C3:AU32"/>
  <sheetViews>
    <sheetView showGridLines="0" view="pageBreakPreview" zoomScale="70" zoomScaleNormal="85" zoomScaleSheetLayoutView="70" workbookViewId="0">
      <selection activeCell="E42" sqref="E42"/>
    </sheetView>
  </sheetViews>
  <sheetFormatPr defaultRowHeight="15" outlineLevelCol="1" x14ac:dyDescent="0.25"/>
  <cols>
    <col min="1" max="2" width="3.140625" customWidth="1"/>
    <col min="3" max="3" width="6.5703125" style="15" customWidth="1"/>
    <col min="4" max="4" width="4.85546875" style="16" customWidth="1"/>
    <col min="5" max="5" width="28.42578125" bestFit="1" customWidth="1"/>
    <col min="6" max="6" width="2.42578125" customWidth="1"/>
    <col min="7" max="11" width="9.5703125" customWidth="1"/>
    <col min="12" max="12" width="10.42578125" bestFit="1" customWidth="1"/>
    <col min="13" max="19" width="9.5703125" hidden="1" customWidth="1" outlineLevel="1"/>
    <col min="20" max="20" width="10.7109375" hidden="1" customWidth="1" outlineLevel="1" collapsed="1"/>
    <col min="21" max="21" width="7.7109375" customWidth="1" collapsed="1"/>
    <col min="22" max="22" width="10" customWidth="1"/>
    <col min="23" max="23" width="11.7109375" customWidth="1"/>
    <col min="24" max="24" width="3.140625" customWidth="1"/>
    <col min="25" max="25" width="43" customWidth="1"/>
    <col min="26" max="28" width="2.85546875" customWidth="1"/>
    <col min="29" max="33" width="8.42578125" customWidth="1"/>
    <col min="34" max="34" width="2.85546875" customWidth="1"/>
    <col min="35" max="39" width="9.140625" customWidth="1"/>
    <col min="40" max="40" width="2.85546875" customWidth="1"/>
    <col min="41" max="45" width="24.28515625" customWidth="1"/>
    <col min="46" max="46" width="3.7109375" customWidth="1"/>
  </cols>
  <sheetData>
    <row r="3" spans="3:47" ht="18.75" x14ac:dyDescent="0.3">
      <c r="C3" s="81" t="s">
        <v>163</v>
      </c>
      <c r="D3" s="39"/>
      <c r="Z3" s="51"/>
      <c r="AA3" s="51"/>
      <c r="AB3" s="51"/>
    </row>
    <row r="4" spans="3:47" ht="15.75" x14ac:dyDescent="0.25">
      <c r="C4" s="168" t="s">
        <v>227</v>
      </c>
      <c r="D4" s="39"/>
      <c r="Z4" s="51"/>
      <c r="AA4" s="51"/>
      <c r="AB4" s="51"/>
    </row>
    <row r="5" spans="3:47" ht="18" x14ac:dyDescent="0.4">
      <c r="D5" s="39"/>
      <c r="G5" s="78" t="s">
        <v>160</v>
      </c>
      <c r="H5" s="78"/>
      <c r="I5" s="78"/>
      <c r="J5" s="78"/>
      <c r="K5" s="78"/>
      <c r="L5" s="82" t="s">
        <v>159</v>
      </c>
    </row>
    <row r="6" spans="3:47" ht="3" customHeight="1" x14ac:dyDescent="0.25">
      <c r="D6" s="39"/>
      <c r="G6" s="69"/>
      <c r="H6" s="69"/>
      <c r="I6" s="69"/>
      <c r="J6" s="69"/>
      <c r="K6" s="69"/>
      <c r="L6" s="51"/>
    </row>
    <row r="7" spans="3:47" x14ac:dyDescent="0.25">
      <c r="D7" s="64" t="s">
        <v>255</v>
      </c>
      <c r="E7" s="41"/>
      <c r="F7" s="41"/>
      <c r="G7" s="42" t="s">
        <v>20</v>
      </c>
      <c r="H7" s="42" t="s">
        <v>21</v>
      </c>
      <c r="I7" s="42" t="s">
        <v>22</v>
      </c>
      <c r="J7" s="42" t="s">
        <v>23</v>
      </c>
      <c r="K7" s="42" t="s">
        <v>24</v>
      </c>
      <c r="L7" s="42" t="s">
        <v>25</v>
      </c>
      <c r="M7" s="42" t="s">
        <v>0</v>
      </c>
      <c r="N7" s="42" t="s">
        <v>1</v>
      </c>
      <c r="O7" s="42" t="s">
        <v>2</v>
      </c>
      <c r="P7" s="42" t="s">
        <v>3</v>
      </c>
      <c r="Q7" s="42" t="s">
        <v>4</v>
      </c>
      <c r="R7" s="42" t="s">
        <v>5</v>
      </c>
      <c r="S7" s="42" t="s">
        <v>6</v>
      </c>
      <c r="T7" s="42" t="s">
        <v>7</v>
      </c>
      <c r="U7" s="42"/>
      <c r="V7" s="42" t="s">
        <v>18</v>
      </c>
      <c r="W7" s="42" t="s">
        <v>19</v>
      </c>
      <c r="X7" s="41"/>
      <c r="Y7" s="41" t="s">
        <v>16</v>
      </c>
      <c r="Z7" s="51"/>
      <c r="AA7" s="51"/>
      <c r="AB7" s="51"/>
      <c r="AC7" s="182" t="s">
        <v>243</v>
      </c>
      <c r="AD7" s="183"/>
      <c r="AE7" s="183"/>
      <c r="AF7" s="183"/>
      <c r="AG7" s="183"/>
      <c r="AI7" s="184" t="s">
        <v>242</v>
      </c>
      <c r="AJ7" s="183"/>
      <c r="AK7" s="183"/>
      <c r="AL7" s="183"/>
      <c r="AM7" s="183"/>
      <c r="AO7" s="184" t="s">
        <v>287</v>
      </c>
      <c r="AP7" s="183"/>
      <c r="AQ7" s="183"/>
      <c r="AR7" s="183"/>
      <c r="AS7" s="183"/>
    </row>
    <row r="8" spans="3:47" x14ac:dyDescent="0.25">
      <c r="C8" s="52" t="s">
        <v>264</v>
      </c>
      <c r="D8" s="43"/>
      <c r="E8" s="44"/>
      <c r="F8" s="44"/>
      <c r="G8" s="45"/>
      <c r="H8" s="45"/>
      <c r="I8" s="45"/>
      <c r="J8" s="45"/>
      <c r="K8" s="45"/>
      <c r="L8" s="45"/>
      <c r="M8" s="45"/>
      <c r="N8" s="45"/>
      <c r="O8" s="45"/>
      <c r="P8" s="45"/>
      <c r="Q8" s="45"/>
      <c r="R8" s="45"/>
      <c r="S8" s="45"/>
      <c r="T8" s="45"/>
      <c r="U8" s="45"/>
      <c r="V8" s="45"/>
      <c r="W8" s="45"/>
      <c r="X8" s="44"/>
      <c r="Y8" s="44"/>
      <c r="AC8" s="183"/>
      <c r="AD8" s="183"/>
      <c r="AE8" s="183"/>
      <c r="AF8" s="183"/>
      <c r="AG8" s="183"/>
      <c r="AI8" s="183"/>
      <c r="AJ8" s="183"/>
      <c r="AK8" s="183"/>
      <c r="AL8" s="183"/>
      <c r="AM8" s="183"/>
      <c r="AO8" s="183"/>
      <c r="AP8" s="183"/>
      <c r="AQ8" s="183"/>
      <c r="AR8" s="183"/>
      <c r="AS8" s="183"/>
    </row>
    <row r="9" spans="3:47" x14ac:dyDescent="0.25">
      <c r="D9" s="74" t="s">
        <v>27</v>
      </c>
      <c r="E9" s="75"/>
      <c r="F9" s="75"/>
      <c r="G9" s="76"/>
      <c r="H9" s="76"/>
      <c r="I9" s="76"/>
      <c r="J9" s="76"/>
      <c r="K9" s="76"/>
      <c r="L9" s="76"/>
      <c r="M9" s="76"/>
      <c r="N9" s="76"/>
      <c r="O9" s="76"/>
      <c r="P9" s="76"/>
      <c r="Q9" s="76"/>
      <c r="R9" s="76"/>
      <c r="S9" s="76"/>
      <c r="T9" s="76"/>
      <c r="U9" s="76"/>
      <c r="V9" s="76"/>
      <c r="W9" s="76"/>
      <c r="X9" s="75"/>
      <c r="Y9" s="75"/>
      <c r="Z9" s="51"/>
      <c r="AA9" s="51"/>
      <c r="AB9" s="51"/>
      <c r="AC9" s="183"/>
      <c r="AD9" s="183"/>
      <c r="AE9" s="183"/>
      <c r="AF9" s="183"/>
      <c r="AG9" s="183"/>
      <c r="AI9" s="183"/>
      <c r="AJ9" s="183"/>
      <c r="AK9" s="183"/>
      <c r="AL9" s="183"/>
      <c r="AM9" s="183"/>
      <c r="AO9" s="183"/>
      <c r="AP9" s="183"/>
      <c r="AQ9" s="183"/>
      <c r="AR9" s="183"/>
      <c r="AS9" s="183"/>
    </row>
    <row r="10" spans="3:47" x14ac:dyDescent="0.25">
      <c r="C10" s="52">
        <v>1</v>
      </c>
      <c r="E10" t="s">
        <v>8</v>
      </c>
      <c r="G10" s="47">
        <v>2000</v>
      </c>
      <c r="H10" s="67">
        <f>G10</f>
        <v>2000</v>
      </c>
      <c r="I10" s="67">
        <f t="shared" ref="I10:L10" si="0">H10</f>
        <v>2000</v>
      </c>
      <c r="J10" s="67">
        <f t="shared" si="0"/>
        <v>2000</v>
      </c>
      <c r="K10" s="67">
        <f t="shared" si="0"/>
        <v>2000</v>
      </c>
      <c r="L10" s="67">
        <f t="shared" si="0"/>
        <v>2000</v>
      </c>
      <c r="M10" s="3"/>
      <c r="N10" s="3"/>
      <c r="O10" s="3"/>
      <c r="P10" s="3"/>
      <c r="Q10" s="3"/>
      <c r="R10" s="3"/>
      <c r="S10" s="3"/>
      <c r="T10" s="3"/>
      <c r="U10" s="3"/>
      <c r="V10" s="47">
        <v>2000</v>
      </c>
      <c r="W10" s="20">
        <f t="shared" ref="W10:W18" si="1">L10/V10</f>
        <v>1</v>
      </c>
      <c r="X10" s="3"/>
      <c r="AC10" s="183"/>
      <c r="AD10" s="183"/>
      <c r="AE10" s="183"/>
      <c r="AF10" s="183"/>
      <c r="AG10" s="183"/>
      <c r="AI10" s="183"/>
      <c r="AJ10" s="183"/>
      <c r="AK10" s="183"/>
      <c r="AL10" s="183"/>
      <c r="AM10" s="183"/>
      <c r="AO10" s="183"/>
      <c r="AP10" s="183"/>
      <c r="AQ10" s="183"/>
      <c r="AR10" s="183"/>
      <c r="AS10" s="183"/>
    </row>
    <row r="11" spans="3:47" x14ac:dyDescent="0.25">
      <c r="C11" s="52">
        <v>2</v>
      </c>
      <c r="E11" t="s">
        <v>11</v>
      </c>
      <c r="G11" s="7">
        <f>SUM(G12:G13)</f>
        <v>525</v>
      </c>
      <c r="H11" s="7">
        <f t="shared" ref="H11:L11" si="2">SUM(H12:H13)</f>
        <v>525</v>
      </c>
      <c r="I11" s="7">
        <f t="shared" si="2"/>
        <v>575</v>
      </c>
      <c r="J11" s="7">
        <f t="shared" si="2"/>
        <v>450</v>
      </c>
      <c r="K11" s="7">
        <f t="shared" si="2"/>
        <v>450</v>
      </c>
      <c r="L11" s="7">
        <f t="shared" si="2"/>
        <v>450</v>
      </c>
      <c r="M11" s="19"/>
      <c r="N11" s="19"/>
      <c r="O11" s="19"/>
      <c r="P11" s="19"/>
      <c r="Q11" s="19"/>
      <c r="R11" s="19"/>
      <c r="S11" s="19"/>
      <c r="T11" s="19"/>
      <c r="U11" s="19"/>
      <c r="V11" s="65">
        <v>550</v>
      </c>
      <c r="W11" s="20">
        <f t="shared" si="1"/>
        <v>0.81818181818181823</v>
      </c>
      <c r="X11" s="20"/>
      <c r="Y11" t="s">
        <v>241</v>
      </c>
      <c r="AC11" s="183"/>
      <c r="AD11" s="183"/>
      <c r="AE11" s="183"/>
      <c r="AF11" s="183"/>
      <c r="AG11" s="183"/>
      <c r="AI11" s="183"/>
      <c r="AJ11" s="183"/>
      <c r="AK11" s="183"/>
      <c r="AL11" s="183"/>
      <c r="AM11" s="183"/>
      <c r="AO11" s="183"/>
      <c r="AP11" s="183"/>
      <c r="AQ11" s="183"/>
      <c r="AR11" s="183"/>
      <c r="AS11" s="183"/>
    </row>
    <row r="12" spans="3:47" x14ac:dyDescent="0.25">
      <c r="C12" s="52">
        <v>3</v>
      </c>
      <c r="E12" s="8" t="s">
        <v>12</v>
      </c>
      <c r="F12" s="9"/>
      <c r="G12" s="48">
        <v>450</v>
      </c>
      <c r="H12" s="48">
        <v>450</v>
      </c>
      <c r="I12" s="48">
        <v>500</v>
      </c>
      <c r="J12" s="48">
        <v>350</v>
      </c>
      <c r="K12" s="48">
        <v>350</v>
      </c>
      <c r="L12" s="48">
        <v>325</v>
      </c>
      <c r="M12" s="10"/>
      <c r="N12" s="10"/>
      <c r="O12" s="10"/>
      <c r="P12" s="10"/>
      <c r="Q12" s="10"/>
      <c r="R12" s="10"/>
      <c r="S12" s="10"/>
      <c r="T12" s="10"/>
      <c r="U12" s="10"/>
      <c r="V12" s="48">
        <v>450</v>
      </c>
      <c r="W12" s="20">
        <f>L12/V12</f>
        <v>0.72222222222222221</v>
      </c>
      <c r="X12" s="10"/>
      <c r="Y12" t="s">
        <v>238</v>
      </c>
      <c r="AC12" s="183"/>
      <c r="AD12" s="183"/>
      <c r="AE12" s="183"/>
      <c r="AF12" s="183"/>
      <c r="AG12" s="183"/>
      <c r="AI12" s="183"/>
      <c r="AJ12" s="183"/>
      <c r="AK12" s="183"/>
      <c r="AL12" s="183"/>
      <c r="AM12" s="183"/>
      <c r="AO12" s="183"/>
      <c r="AP12" s="183"/>
      <c r="AQ12" s="183"/>
      <c r="AR12" s="183"/>
      <c r="AS12" s="183"/>
      <c r="AU12" s="51"/>
    </row>
    <row r="13" spans="3:47" x14ac:dyDescent="0.25">
      <c r="C13" s="52">
        <v>4</v>
      </c>
      <c r="E13" s="8" t="s">
        <v>13</v>
      </c>
      <c r="F13" s="9"/>
      <c r="G13" s="48">
        <v>75</v>
      </c>
      <c r="H13" s="48">
        <v>75</v>
      </c>
      <c r="I13" s="48">
        <v>75</v>
      </c>
      <c r="J13" s="48">
        <v>100</v>
      </c>
      <c r="K13" s="48">
        <v>100</v>
      </c>
      <c r="L13" s="48">
        <v>125</v>
      </c>
      <c r="M13" s="10"/>
      <c r="N13" s="10"/>
      <c r="O13" s="10"/>
      <c r="P13" s="10"/>
      <c r="Q13" s="10"/>
      <c r="R13" s="10"/>
      <c r="S13" s="10"/>
      <c r="T13" s="10"/>
      <c r="U13" s="10"/>
      <c r="V13" s="48">
        <v>100</v>
      </c>
      <c r="W13" s="20">
        <f t="shared" si="1"/>
        <v>1.25</v>
      </c>
      <c r="X13" s="10"/>
      <c r="Y13" t="s">
        <v>239</v>
      </c>
      <c r="AC13" s="183"/>
      <c r="AD13" s="183"/>
      <c r="AE13" s="183"/>
      <c r="AF13" s="183"/>
      <c r="AG13" s="183"/>
      <c r="AI13" s="183"/>
      <c r="AJ13" s="183"/>
      <c r="AK13" s="183"/>
      <c r="AL13" s="183"/>
      <c r="AM13" s="183"/>
      <c r="AO13" s="183"/>
      <c r="AP13" s="183"/>
      <c r="AQ13" s="183"/>
      <c r="AR13" s="183"/>
      <c r="AS13" s="183"/>
    </row>
    <row r="14" spans="3:47" x14ac:dyDescent="0.25">
      <c r="C14" s="52">
        <v>5</v>
      </c>
      <c r="E14" t="s">
        <v>9</v>
      </c>
      <c r="G14" s="3">
        <f t="shared" ref="G14:L14" si="3">SUM(G15:G16)</f>
        <v>70</v>
      </c>
      <c r="H14" s="3">
        <f t="shared" si="3"/>
        <v>70</v>
      </c>
      <c r="I14" s="3">
        <f t="shared" si="3"/>
        <v>70</v>
      </c>
      <c r="J14" s="3">
        <f t="shared" si="3"/>
        <v>80</v>
      </c>
      <c r="K14" s="3">
        <f t="shared" si="3"/>
        <v>80</v>
      </c>
      <c r="L14" s="3">
        <f t="shared" si="3"/>
        <v>80</v>
      </c>
      <c r="M14" s="3"/>
      <c r="N14" s="3"/>
      <c r="O14" s="3"/>
      <c r="P14" s="3"/>
      <c r="Q14" s="3"/>
      <c r="R14" s="3"/>
      <c r="S14" s="3"/>
      <c r="T14" s="3"/>
      <c r="U14" s="3"/>
      <c r="V14" s="47">
        <v>95</v>
      </c>
      <c r="W14" s="5">
        <f t="shared" si="1"/>
        <v>0.84210526315789469</v>
      </c>
      <c r="X14" s="3"/>
      <c r="Y14" t="s">
        <v>240</v>
      </c>
      <c r="AC14" s="183"/>
      <c r="AD14" s="183"/>
      <c r="AE14" s="183"/>
      <c r="AF14" s="183"/>
      <c r="AG14" s="183"/>
      <c r="AI14" s="183"/>
      <c r="AJ14" s="183"/>
      <c r="AK14" s="183"/>
      <c r="AL14" s="183"/>
      <c r="AM14" s="183"/>
      <c r="AO14" s="183"/>
      <c r="AP14" s="183"/>
      <c r="AQ14" s="183"/>
      <c r="AR14" s="183"/>
      <c r="AS14" s="183"/>
    </row>
    <row r="15" spans="3:47" x14ac:dyDescent="0.25">
      <c r="C15" s="52">
        <v>6</v>
      </c>
      <c r="E15" s="8" t="s">
        <v>14</v>
      </c>
      <c r="F15" s="9"/>
      <c r="G15" s="48">
        <v>35</v>
      </c>
      <c r="H15" s="48">
        <v>35</v>
      </c>
      <c r="I15" s="48">
        <v>35</v>
      </c>
      <c r="J15" s="48">
        <v>45</v>
      </c>
      <c r="K15" s="48">
        <v>45</v>
      </c>
      <c r="L15" s="48">
        <v>45</v>
      </c>
      <c r="M15" s="10"/>
      <c r="N15" s="10"/>
      <c r="O15" s="10"/>
      <c r="P15" s="10"/>
      <c r="Q15" s="10"/>
      <c r="R15" s="10"/>
      <c r="S15" s="10"/>
      <c r="T15" s="10"/>
      <c r="U15" s="10"/>
      <c r="V15" s="48">
        <v>65</v>
      </c>
      <c r="W15" s="5">
        <f t="shared" si="1"/>
        <v>0.69230769230769229</v>
      </c>
      <c r="X15" s="3"/>
      <c r="AC15" s="183"/>
      <c r="AD15" s="183"/>
      <c r="AE15" s="183"/>
      <c r="AF15" s="183"/>
      <c r="AG15" s="183"/>
      <c r="AI15" s="183"/>
      <c r="AJ15" s="183"/>
      <c r="AK15" s="183"/>
      <c r="AL15" s="183"/>
      <c r="AM15" s="183"/>
      <c r="AO15" s="183"/>
      <c r="AP15" s="183"/>
      <c r="AQ15" s="183"/>
      <c r="AR15" s="183"/>
      <c r="AS15" s="183"/>
      <c r="AU15" s="51"/>
    </row>
    <row r="16" spans="3:47" x14ac:dyDescent="0.25">
      <c r="C16" s="52">
        <v>7</v>
      </c>
      <c r="E16" s="11" t="s">
        <v>15</v>
      </c>
      <c r="F16" s="12"/>
      <c r="G16" s="49">
        <v>35</v>
      </c>
      <c r="H16" s="49">
        <v>35</v>
      </c>
      <c r="I16" s="49">
        <v>35</v>
      </c>
      <c r="J16" s="49">
        <v>35</v>
      </c>
      <c r="K16" s="49">
        <v>35</v>
      </c>
      <c r="L16" s="49">
        <v>35</v>
      </c>
      <c r="M16" s="13"/>
      <c r="N16" s="13"/>
      <c r="O16" s="13"/>
      <c r="P16" s="13"/>
      <c r="Q16" s="13"/>
      <c r="R16" s="13"/>
      <c r="S16" s="13"/>
      <c r="T16" s="13"/>
      <c r="U16" s="13"/>
      <c r="V16" s="49">
        <v>30</v>
      </c>
      <c r="W16" s="21">
        <f t="shared" si="1"/>
        <v>1.1666666666666667</v>
      </c>
      <c r="X16" s="4"/>
      <c r="Y16" s="1"/>
      <c r="AC16" s="183"/>
      <c r="AD16" s="183"/>
      <c r="AE16" s="183"/>
      <c r="AF16" s="183"/>
      <c r="AG16" s="183"/>
      <c r="AI16" s="183"/>
      <c r="AJ16" s="183"/>
      <c r="AK16" s="183"/>
      <c r="AL16" s="183"/>
      <c r="AM16" s="183"/>
      <c r="AO16" s="183"/>
      <c r="AP16" s="183"/>
      <c r="AQ16" s="183"/>
      <c r="AR16" s="183"/>
      <c r="AS16" s="183"/>
      <c r="AU16" s="51"/>
    </row>
    <row r="17" spans="3:47" s="6" customFormat="1" x14ac:dyDescent="0.25">
      <c r="C17" s="52">
        <v>8</v>
      </c>
      <c r="D17" s="16"/>
      <c r="E17" s="6" t="s">
        <v>10</v>
      </c>
      <c r="G17" s="7">
        <f>G10+G11-G14</f>
        <v>2455</v>
      </c>
      <c r="H17" s="7">
        <f t="shared" ref="H17:L17" si="4">H10+H11-H14</f>
        <v>2455</v>
      </c>
      <c r="I17" s="7">
        <f t="shared" si="4"/>
        <v>2505</v>
      </c>
      <c r="J17" s="7">
        <f t="shared" si="4"/>
        <v>2370</v>
      </c>
      <c r="K17" s="7">
        <f t="shared" si="4"/>
        <v>2370</v>
      </c>
      <c r="L17" s="7">
        <f t="shared" si="4"/>
        <v>2370</v>
      </c>
      <c r="M17" s="7"/>
      <c r="N17" s="7"/>
      <c r="O17" s="7"/>
      <c r="P17" s="7"/>
      <c r="Q17" s="7"/>
      <c r="R17" s="7"/>
      <c r="S17" s="7"/>
      <c r="T17" s="7"/>
      <c r="V17" s="18">
        <f>V10+V11-V14</f>
        <v>2455</v>
      </c>
      <c r="W17" s="14">
        <f t="shared" si="1"/>
        <v>0.96537678207739308</v>
      </c>
      <c r="AC17" s="183"/>
      <c r="AD17" s="183"/>
      <c r="AE17" s="183"/>
      <c r="AF17" s="183"/>
      <c r="AG17" s="183"/>
      <c r="AI17" s="183"/>
      <c r="AJ17" s="183"/>
      <c r="AK17" s="183"/>
      <c r="AL17" s="183"/>
      <c r="AM17" s="183"/>
      <c r="AO17" s="183"/>
      <c r="AP17" s="183"/>
      <c r="AQ17" s="183"/>
      <c r="AR17" s="183"/>
      <c r="AS17" s="183"/>
    </row>
    <row r="18" spans="3:47" x14ac:dyDescent="0.25">
      <c r="C18" s="52">
        <v>9</v>
      </c>
      <c r="E18" t="s">
        <v>26</v>
      </c>
      <c r="G18" s="3">
        <f>G11-G14</f>
        <v>455</v>
      </c>
      <c r="H18" s="3">
        <f t="shared" ref="H18:L18" si="5">H11-H14</f>
        <v>455</v>
      </c>
      <c r="I18" s="3">
        <f t="shared" si="5"/>
        <v>505</v>
      </c>
      <c r="J18" s="3">
        <f t="shared" si="5"/>
        <v>370</v>
      </c>
      <c r="K18" s="3">
        <f t="shared" si="5"/>
        <v>370</v>
      </c>
      <c r="L18" s="3">
        <f t="shared" si="5"/>
        <v>370</v>
      </c>
      <c r="M18" s="3"/>
      <c r="N18" s="3"/>
      <c r="O18" s="3"/>
      <c r="P18" s="3"/>
      <c r="Q18" s="3"/>
      <c r="R18" s="3"/>
      <c r="S18" s="3"/>
      <c r="T18" s="3"/>
      <c r="V18" s="22">
        <f>V11-V14</f>
        <v>455</v>
      </c>
      <c r="W18" s="23">
        <f t="shared" si="1"/>
        <v>0.81318681318681318</v>
      </c>
      <c r="AC18" s="183"/>
      <c r="AD18" s="183"/>
      <c r="AE18" s="183"/>
      <c r="AF18" s="183"/>
      <c r="AG18" s="183"/>
      <c r="AI18" s="183"/>
      <c r="AJ18" s="183"/>
      <c r="AK18" s="183"/>
      <c r="AL18" s="183"/>
      <c r="AM18" s="183"/>
      <c r="AO18" s="183"/>
      <c r="AP18" s="183"/>
      <c r="AQ18" s="183"/>
      <c r="AR18" s="183"/>
      <c r="AS18" s="183"/>
    </row>
    <row r="19" spans="3:47" x14ac:dyDescent="0.25">
      <c r="C19" s="52"/>
      <c r="H19" s="3"/>
      <c r="I19" s="3"/>
      <c r="J19" s="3"/>
      <c r="K19" s="3"/>
      <c r="L19" s="3"/>
      <c r="M19" s="3"/>
      <c r="N19" s="3"/>
      <c r="O19" s="3"/>
      <c r="P19" s="3"/>
      <c r="Q19" s="3"/>
      <c r="R19" s="3"/>
      <c r="S19" s="3"/>
      <c r="T19" s="3"/>
      <c r="Z19" s="51"/>
      <c r="AA19" s="51"/>
      <c r="AB19" s="51"/>
      <c r="AC19" s="183"/>
      <c r="AD19" s="183"/>
      <c r="AE19" s="183"/>
      <c r="AF19" s="183"/>
      <c r="AG19" s="183"/>
      <c r="AI19" s="183"/>
      <c r="AJ19" s="183"/>
      <c r="AK19" s="183"/>
      <c r="AL19" s="183"/>
      <c r="AM19" s="183"/>
      <c r="AO19" s="183"/>
      <c r="AP19" s="183"/>
      <c r="AQ19" s="183"/>
      <c r="AR19" s="183"/>
      <c r="AS19" s="183"/>
    </row>
    <row r="20" spans="3:47" x14ac:dyDescent="0.25">
      <c r="C20" s="52"/>
      <c r="D20" s="74" t="s">
        <v>29</v>
      </c>
      <c r="E20" s="75"/>
      <c r="F20" s="75"/>
      <c r="G20" s="77"/>
      <c r="H20" s="77"/>
      <c r="I20" s="77"/>
      <c r="J20" s="77"/>
      <c r="K20" s="77"/>
      <c r="L20" s="77"/>
      <c r="M20" s="77"/>
      <c r="N20" s="77"/>
      <c r="O20" s="77"/>
      <c r="P20" s="77"/>
      <c r="Q20" s="77"/>
      <c r="R20" s="77"/>
      <c r="S20" s="77"/>
      <c r="T20" s="77"/>
      <c r="U20" s="75"/>
      <c r="V20" s="75"/>
      <c r="W20" s="75"/>
      <c r="X20" s="75"/>
      <c r="Y20" s="75"/>
      <c r="AC20" s="183"/>
      <c r="AD20" s="183"/>
      <c r="AE20" s="183"/>
      <c r="AF20" s="183"/>
      <c r="AG20" s="183"/>
      <c r="AI20" s="183"/>
      <c r="AJ20" s="183"/>
      <c r="AK20" s="183"/>
      <c r="AL20" s="183"/>
      <c r="AM20" s="183"/>
      <c r="AO20" s="183"/>
      <c r="AP20" s="183"/>
      <c r="AQ20" s="183"/>
      <c r="AR20" s="183"/>
      <c r="AS20" s="183"/>
    </row>
    <row r="21" spans="3:47" x14ac:dyDescent="0.25">
      <c r="C21" s="52">
        <v>10</v>
      </c>
      <c r="E21" t="s">
        <v>30</v>
      </c>
      <c r="G21" s="47">
        <v>1650</v>
      </c>
      <c r="H21" s="47">
        <v>1575</v>
      </c>
      <c r="I21" s="47">
        <v>1690</v>
      </c>
      <c r="J21" s="47">
        <v>1435</v>
      </c>
      <c r="K21" s="47">
        <v>1400</v>
      </c>
      <c r="L21" s="47">
        <v>1430</v>
      </c>
      <c r="M21" s="3"/>
      <c r="N21" s="3"/>
      <c r="O21" s="3"/>
      <c r="P21" s="3"/>
      <c r="Q21" s="3"/>
      <c r="R21" s="3"/>
      <c r="S21" s="3"/>
      <c r="T21" s="3"/>
      <c r="Z21" s="51"/>
      <c r="AA21" s="51"/>
      <c r="AB21" s="51"/>
      <c r="AC21" s="183"/>
      <c r="AD21" s="183"/>
      <c r="AE21" s="183"/>
      <c r="AF21" s="183"/>
      <c r="AG21" s="183"/>
      <c r="AI21" s="183"/>
      <c r="AJ21" s="183"/>
      <c r="AK21" s="183"/>
      <c r="AL21" s="183"/>
      <c r="AM21" s="183"/>
      <c r="AO21" s="183"/>
      <c r="AP21" s="183"/>
      <c r="AQ21" s="183"/>
      <c r="AR21" s="183"/>
      <c r="AS21" s="183"/>
    </row>
    <row r="22" spans="3:47" x14ac:dyDescent="0.25">
      <c r="C22" s="52">
        <v>11</v>
      </c>
      <c r="E22" t="s">
        <v>32</v>
      </c>
      <c r="G22" s="68">
        <f t="shared" ref="G22:L22" si="6">G21/($V$11-G29)</f>
        <v>3</v>
      </c>
      <c r="H22" s="68">
        <f t="shared" si="6"/>
        <v>3.0143540669856459</v>
      </c>
      <c r="I22" s="68">
        <f t="shared" si="6"/>
        <v>3.4141414141414139</v>
      </c>
      <c r="J22" s="68">
        <f t="shared" si="6"/>
        <v>3.0695187165775399</v>
      </c>
      <c r="K22" s="68">
        <f t="shared" si="6"/>
        <v>3.1818181818181817</v>
      </c>
      <c r="L22" s="68">
        <f t="shared" si="6"/>
        <v>3.4666666666666668</v>
      </c>
      <c r="Y22" t="s">
        <v>162</v>
      </c>
      <c r="Z22" s="51"/>
      <c r="AA22" s="51"/>
      <c r="AB22" s="51"/>
      <c r="AC22" s="183"/>
      <c r="AD22" s="183"/>
      <c r="AE22" s="183"/>
      <c r="AF22" s="183"/>
      <c r="AG22" s="183"/>
      <c r="AI22" s="183"/>
      <c r="AJ22" s="183"/>
      <c r="AK22" s="183"/>
      <c r="AL22" s="183"/>
      <c r="AM22" s="183"/>
      <c r="AO22" s="183"/>
      <c r="AP22" s="183"/>
      <c r="AQ22" s="183"/>
      <c r="AR22" s="183"/>
      <c r="AS22" s="183"/>
      <c r="AU22" s="51"/>
    </row>
    <row r="23" spans="3:47" x14ac:dyDescent="0.25">
      <c r="C23" s="52"/>
      <c r="Z23" s="51"/>
      <c r="AA23" s="51"/>
      <c r="AB23" s="51"/>
      <c r="AC23" s="183"/>
      <c r="AD23" s="183"/>
      <c r="AE23" s="183"/>
      <c r="AF23" s="183"/>
      <c r="AG23" s="183"/>
      <c r="AI23" s="183"/>
      <c r="AJ23" s="183"/>
      <c r="AK23" s="183"/>
      <c r="AL23" s="183"/>
      <c r="AM23" s="183"/>
      <c r="AO23" s="183"/>
      <c r="AP23" s="183"/>
      <c r="AQ23" s="183"/>
      <c r="AR23" s="183"/>
      <c r="AS23" s="183"/>
      <c r="AU23" s="51"/>
    </row>
    <row r="24" spans="3:47" x14ac:dyDescent="0.25">
      <c r="C24" s="52"/>
      <c r="D24" s="74" t="s">
        <v>33</v>
      </c>
      <c r="E24" s="75"/>
      <c r="F24" s="75"/>
      <c r="G24" s="75"/>
      <c r="H24" s="75"/>
      <c r="I24" s="75"/>
      <c r="J24" s="75"/>
      <c r="K24" s="75"/>
      <c r="L24" s="75"/>
      <c r="M24" s="75"/>
      <c r="N24" s="75"/>
      <c r="O24" s="75"/>
      <c r="P24" s="75"/>
      <c r="Q24" s="75"/>
      <c r="R24" s="75"/>
      <c r="S24" s="75"/>
      <c r="T24" s="75"/>
      <c r="U24" s="75"/>
      <c r="V24" s="75"/>
      <c r="W24" s="75"/>
      <c r="X24" s="75"/>
      <c r="Y24" s="75"/>
      <c r="Z24" s="51"/>
      <c r="AA24" s="51"/>
      <c r="AB24" s="51"/>
      <c r="AC24" s="183"/>
      <c r="AD24" s="183"/>
      <c r="AE24" s="183"/>
      <c r="AF24" s="183"/>
      <c r="AG24" s="183"/>
      <c r="AI24" s="183"/>
      <c r="AJ24" s="183"/>
      <c r="AK24" s="183"/>
      <c r="AL24" s="183"/>
      <c r="AM24" s="183"/>
      <c r="AO24" s="183"/>
      <c r="AP24" s="183"/>
      <c r="AQ24" s="183"/>
      <c r="AR24" s="183"/>
      <c r="AS24" s="183"/>
    </row>
    <row r="25" spans="3:47" x14ac:dyDescent="0.25">
      <c r="C25" s="52">
        <v>12</v>
      </c>
      <c r="E25" t="s">
        <v>28</v>
      </c>
      <c r="G25" s="46">
        <v>750</v>
      </c>
      <c r="H25" s="46">
        <v>700</v>
      </c>
      <c r="I25" s="46">
        <v>650</v>
      </c>
      <c r="J25" s="46">
        <v>600</v>
      </c>
      <c r="K25" s="46">
        <v>550</v>
      </c>
      <c r="L25" s="46">
        <v>550</v>
      </c>
      <c r="V25" s="80">
        <f>V11</f>
        <v>550</v>
      </c>
      <c r="W25" s="20">
        <f t="shared" ref="W25:W26" si="7">L25/V25</f>
        <v>1</v>
      </c>
      <c r="Y25" t="s">
        <v>36</v>
      </c>
      <c r="Z25" s="51"/>
      <c r="AA25" s="51"/>
      <c r="AB25" s="51"/>
      <c r="AC25" s="183"/>
      <c r="AD25" s="183"/>
      <c r="AE25" s="183"/>
      <c r="AF25" s="183"/>
      <c r="AG25" s="183"/>
      <c r="AI25" s="183"/>
      <c r="AJ25" s="183"/>
      <c r="AK25" s="183"/>
      <c r="AL25" s="183"/>
      <c r="AM25" s="183"/>
      <c r="AO25" s="183"/>
      <c r="AP25" s="183"/>
      <c r="AQ25" s="183"/>
      <c r="AR25" s="183"/>
      <c r="AS25" s="183"/>
    </row>
    <row r="26" spans="3:47" x14ac:dyDescent="0.25">
      <c r="C26" s="52">
        <v>13</v>
      </c>
      <c r="D26" s="199"/>
      <c r="E26" s="200" t="s">
        <v>274</v>
      </c>
      <c r="F26" s="200"/>
      <c r="G26" s="47">
        <v>400</v>
      </c>
      <c r="H26" s="47">
        <v>450</v>
      </c>
      <c r="I26" s="47">
        <v>500</v>
      </c>
      <c r="J26" s="47">
        <v>475</v>
      </c>
      <c r="K26" s="47">
        <v>450</v>
      </c>
      <c r="L26" s="47">
        <v>425</v>
      </c>
      <c r="M26" s="200"/>
      <c r="N26" s="200"/>
      <c r="O26" s="200"/>
      <c r="P26" s="200"/>
      <c r="Q26" s="200"/>
      <c r="R26" s="200"/>
      <c r="S26" s="200"/>
      <c r="T26" s="200"/>
      <c r="U26" s="200"/>
      <c r="V26" s="201">
        <f>V25</f>
        <v>550</v>
      </c>
      <c r="W26" s="202">
        <f t="shared" si="7"/>
        <v>0.77272727272727271</v>
      </c>
      <c r="X26" s="200"/>
      <c r="Y26" s="200" t="s">
        <v>273</v>
      </c>
      <c r="Z26" s="51"/>
      <c r="AA26" s="51"/>
      <c r="AB26" s="51"/>
      <c r="AC26" s="183"/>
      <c r="AD26" s="183"/>
      <c r="AE26" s="183"/>
      <c r="AF26" s="183"/>
      <c r="AG26" s="183"/>
      <c r="AI26" s="183"/>
      <c r="AJ26" s="183"/>
      <c r="AK26" s="183"/>
      <c r="AL26" s="183"/>
      <c r="AM26" s="183"/>
      <c r="AO26" s="183"/>
      <c r="AP26" s="183"/>
      <c r="AQ26" s="183"/>
      <c r="AR26" s="183"/>
      <c r="AS26" s="183"/>
    </row>
    <row r="27" spans="3:47" x14ac:dyDescent="0.25">
      <c r="C27" s="52"/>
      <c r="Z27" s="51"/>
      <c r="AA27" s="51"/>
      <c r="AB27" s="51"/>
      <c r="AC27" s="183"/>
      <c r="AD27" s="183"/>
      <c r="AE27" s="183"/>
      <c r="AF27" s="183"/>
      <c r="AG27" s="183"/>
      <c r="AI27" s="183"/>
      <c r="AJ27" s="183"/>
      <c r="AK27" s="183"/>
      <c r="AL27" s="183"/>
      <c r="AM27" s="183"/>
      <c r="AO27" s="183"/>
      <c r="AP27" s="183"/>
      <c r="AQ27" s="183"/>
      <c r="AR27" s="183"/>
      <c r="AS27" s="183"/>
    </row>
    <row r="28" spans="3:47" x14ac:dyDescent="0.25">
      <c r="C28" s="52"/>
      <c r="D28" s="74" t="s">
        <v>31</v>
      </c>
      <c r="E28" s="75"/>
      <c r="F28" s="75"/>
      <c r="G28" s="75"/>
      <c r="H28" s="75"/>
      <c r="I28" s="75"/>
      <c r="J28" s="75"/>
      <c r="K28" s="75"/>
      <c r="L28" s="75"/>
      <c r="M28" s="75"/>
      <c r="N28" s="75"/>
      <c r="O28" s="75"/>
      <c r="P28" s="75"/>
      <c r="Q28" s="75"/>
      <c r="R28" s="75"/>
      <c r="S28" s="75"/>
      <c r="T28" s="75"/>
      <c r="U28" s="75"/>
      <c r="V28" s="75"/>
      <c r="W28" s="75"/>
      <c r="X28" s="75"/>
      <c r="Y28" s="75"/>
      <c r="AC28" s="183"/>
      <c r="AD28" s="183"/>
      <c r="AE28" s="183"/>
      <c r="AF28" s="183"/>
      <c r="AG28" s="183"/>
      <c r="AI28" s="183"/>
      <c r="AJ28" s="183"/>
      <c r="AK28" s="183"/>
      <c r="AL28" s="183"/>
      <c r="AM28" s="183"/>
      <c r="AO28" s="183"/>
      <c r="AP28" s="183"/>
      <c r="AQ28" s="183"/>
      <c r="AR28" s="183"/>
      <c r="AS28" s="183"/>
    </row>
    <row r="29" spans="3:47" x14ac:dyDescent="0.25">
      <c r="C29" s="71">
        <v>14</v>
      </c>
      <c r="D29" s="72"/>
      <c r="E29" s="73" t="s">
        <v>11</v>
      </c>
      <c r="F29" s="51"/>
      <c r="G29" s="47">
        <v>0</v>
      </c>
      <c r="H29" s="47">
        <v>27.5</v>
      </c>
      <c r="I29" s="47">
        <v>55</v>
      </c>
      <c r="J29" s="47">
        <v>82.500000000000014</v>
      </c>
      <c r="K29" s="47">
        <v>110</v>
      </c>
      <c r="L29" s="47">
        <v>137.5</v>
      </c>
      <c r="AC29" s="183"/>
      <c r="AD29" s="183"/>
      <c r="AE29" s="183"/>
      <c r="AF29" s="183"/>
      <c r="AG29" s="183"/>
      <c r="AI29" s="183"/>
      <c r="AJ29" s="183"/>
      <c r="AK29" s="183"/>
      <c r="AL29" s="183"/>
      <c r="AM29" s="183"/>
      <c r="AO29" s="183"/>
      <c r="AP29" s="183"/>
      <c r="AQ29" s="183"/>
      <c r="AR29" s="183"/>
      <c r="AS29" s="183"/>
    </row>
    <row r="30" spans="3:47" x14ac:dyDescent="0.25">
      <c r="C30" s="71">
        <v>15</v>
      </c>
      <c r="D30" s="72"/>
      <c r="E30" s="73" t="s">
        <v>37</v>
      </c>
      <c r="F30" s="66"/>
      <c r="G30" s="70">
        <f>G29/$V$11</f>
        <v>0</v>
      </c>
      <c r="H30" s="70">
        <f t="shared" ref="H30:L30" si="8">H29/$V$11</f>
        <v>0.05</v>
      </c>
      <c r="I30" s="70">
        <f t="shared" si="8"/>
        <v>0.1</v>
      </c>
      <c r="J30" s="70">
        <f t="shared" si="8"/>
        <v>0.15000000000000002</v>
      </c>
      <c r="K30" s="70">
        <f t="shared" si="8"/>
        <v>0.2</v>
      </c>
      <c r="L30" s="70">
        <f t="shared" si="8"/>
        <v>0.25</v>
      </c>
      <c r="Z30" s="51"/>
      <c r="AA30" s="51"/>
      <c r="AB30" s="51"/>
      <c r="AC30" s="183"/>
      <c r="AD30" s="183"/>
      <c r="AE30" s="183"/>
      <c r="AF30" s="183"/>
      <c r="AG30" s="183"/>
      <c r="AI30" s="183"/>
      <c r="AJ30" s="183"/>
      <c r="AK30" s="183"/>
      <c r="AL30" s="183"/>
      <c r="AM30" s="183"/>
      <c r="AO30" s="183"/>
      <c r="AP30" s="183"/>
      <c r="AQ30" s="183"/>
      <c r="AR30" s="183"/>
      <c r="AS30" s="183"/>
    </row>
    <row r="32" spans="3:47" x14ac:dyDescent="0.25">
      <c r="E32" s="51"/>
    </row>
  </sheetData>
  <mergeCells count="3">
    <mergeCell ref="AC7:AG30"/>
    <mergeCell ref="AI7:AM30"/>
    <mergeCell ref="AO7:AS30"/>
  </mergeCells>
  <phoneticPr fontId="3" type="noConversion"/>
  <pageMargins left="0.7" right="0.7" top="0.75" bottom="0.75" header="0.3" footer="0.3"/>
  <pageSetup scale="4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4DB70-3246-4E2F-A167-FA7E9F51075D}">
  <sheetPr>
    <pageSetUpPr fitToPage="1"/>
  </sheetPr>
  <dimension ref="C3:AW40"/>
  <sheetViews>
    <sheetView showGridLines="0" zoomScale="70" zoomScaleNormal="70" zoomScaleSheetLayoutView="90" workbookViewId="0">
      <selection activeCell="AA4" sqref="AA4"/>
    </sheetView>
  </sheetViews>
  <sheetFormatPr defaultRowHeight="15" outlineLevelCol="1" x14ac:dyDescent="0.25"/>
  <cols>
    <col min="1" max="2" width="3.140625" customWidth="1"/>
    <col min="3" max="3" width="6.5703125" style="15" customWidth="1"/>
    <col min="4" max="4" width="4.85546875" style="16" customWidth="1"/>
    <col min="5" max="5" width="34" customWidth="1"/>
    <col min="6" max="6" width="2.42578125" customWidth="1"/>
    <col min="7" max="7" width="10.42578125" customWidth="1"/>
    <col min="8" max="8" width="2.42578125" customWidth="1"/>
    <col min="9" max="13" width="9.5703125" customWidth="1"/>
    <col min="14" max="14" width="10.85546875" customWidth="1"/>
    <col min="15" max="21" width="9.5703125" hidden="1" customWidth="1" outlineLevel="1"/>
    <col min="22" max="22" width="10.7109375" hidden="1" customWidth="1" outlineLevel="1" collapsed="1"/>
    <col min="23" max="23" width="1.85546875" customWidth="1" collapsed="1"/>
    <col min="24" max="24" width="10" customWidth="1"/>
    <col min="25" max="25" width="11.7109375" customWidth="1"/>
    <col min="26" max="26" width="3.140625" customWidth="1"/>
    <col min="27" max="27" width="37.5703125" customWidth="1"/>
    <col min="28" max="30" width="2.85546875" customWidth="1"/>
    <col min="31" max="35" width="8.42578125" customWidth="1"/>
    <col min="36" max="36" width="1.85546875" customWidth="1"/>
    <col min="37" max="41" width="9.140625" customWidth="1"/>
    <col min="42" max="42" width="1.5703125" customWidth="1"/>
    <col min="43" max="47" width="10.7109375" customWidth="1"/>
    <col min="48" max="48" width="3.140625" customWidth="1"/>
  </cols>
  <sheetData>
    <row r="3" spans="3:49" ht="18.75" x14ac:dyDescent="0.3">
      <c r="C3" s="81" t="s">
        <v>17</v>
      </c>
      <c r="AB3" s="51"/>
      <c r="AC3" s="51"/>
      <c r="AD3" s="51"/>
    </row>
    <row r="4" spans="3:49" ht="18.75" x14ac:dyDescent="0.3">
      <c r="C4" s="169" t="s">
        <v>228</v>
      </c>
      <c r="AA4" s="205"/>
      <c r="AB4" s="51"/>
      <c r="AC4" s="51"/>
      <c r="AD4" s="51"/>
    </row>
    <row r="5" spans="3:49" ht="18" x14ac:dyDescent="0.4">
      <c r="D5" s="39"/>
      <c r="G5" s="78" t="s">
        <v>222</v>
      </c>
      <c r="I5" s="78" t="s">
        <v>160</v>
      </c>
      <c r="J5" s="78"/>
      <c r="K5" s="78"/>
      <c r="L5" s="78"/>
      <c r="M5" s="78"/>
      <c r="N5" s="79" t="s">
        <v>159</v>
      </c>
    </row>
    <row r="6" spans="3:49" ht="3" customHeight="1" x14ac:dyDescent="0.25">
      <c r="D6" s="39"/>
      <c r="I6" s="69"/>
      <c r="J6" s="69"/>
      <c r="K6" s="69"/>
      <c r="L6" s="69"/>
      <c r="M6" s="69"/>
      <c r="N6" s="51"/>
    </row>
    <row r="7" spans="3:49" ht="15" customHeight="1" x14ac:dyDescent="0.25">
      <c r="D7" s="64" t="s">
        <v>255</v>
      </c>
      <c r="E7" s="41"/>
      <c r="F7" s="41"/>
      <c r="G7" s="41" t="s">
        <v>223</v>
      </c>
      <c r="H7" s="41"/>
      <c r="I7" s="42" t="s">
        <v>20</v>
      </c>
      <c r="J7" s="42" t="s">
        <v>21</v>
      </c>
      <c r="K7" s="42" t="s">
        <v>22</v>
      </c>
      <c r="L7" s="42" t="s">
        <v>23</v>
      </c>
      <c r="M7" s="42" t="s">
        <v>24</v>
      </c>
      <c r="N7" s="42" t="s">
        <v>25</v>
      </c>
      <c r="O7" s="42" t="s">
        <v>0</v>
      </c>
      <c r="P7" s="42" t="s">
        <v>1</v>
      </c>
      <c r="Q7" s="42" t="s">
        <v>2</v>
      </c>
      <c r="R7" s="42" t="s">
        <v>3</v>
      </c>
      <c r="S7" s="42" t="s">
        <v>4</v>
      </c>
      <c r="T7" s="42" t="s">
        <v>5</v>
      </c>
      <c r="U7" s="42" t="s">
        <v>6</v>
      </c>
      <c r="V7" s="42" t="s">
        <v>7</v>
      </c>
      <c r="W7" s="42"/>
      <c r="X7" s="42" t="s">
        <v>18</v>
      </c>
      <c r="Y7" s="42" t="s">
        <v>19</v>
      </c>
      <c r="Z7" s="41"/>
      <c r="AA7" s="41" t="s">
        <v>16</v>
      </c>
      <c r="AB7" s="51"/>
      <c r="AC7" s="51"/>
      <c r="AD7" s="51"/>
      <c r="AE7" s="182" t="s">
        <v>248</v>
      </c>
      <c r="AF7" s="182"/>
      <c r="AG7" s="182"/>
      <c r="AH7" s="182"/>
      <c r="AI7" s="182"/>
      <c r="AK7" s="184" t="s">
        <v>257</v>
      </c>
      <c r="AL7" s="184"/>
      <c r="AM7" s="184"/>
      <c r="AN7" s="184"/>
      <c r="AO7" s="184"/>
      <c r="AQ7" s="184" t="s">
        <v>286</v>
      </c>
      <c r="AR7" s="184"/>
      <c r="AS7" s="184"/>
      <c r="AT7" s="184"/>
      <c r="AU7" s="184"/>
    </row>
    <row r="8" spans="3:49" x14ac:dyDescent="0.25">
      <c r="C8" s="52" t="s">
        <v>264</v>
      </c>
      <c r="D8" s="43"/>
      <c r="E8" s="44"/>
      <c r="F8" s="44"/>
      <c r="G8" s="44"/>
      <c r="H8" s="44"/>
      <c r="I8" s="45"/>
      <c r="J8" s="45"/>
      <c r="K8" s="45"/>
      <c r="L8" s="45"/>
      <c r="M8" s="45"/>
      <c r="N8" s="45"/>
      <c r="O8" s="45"/>
      <c r="P8" s="45"/>
      <c r="Q8" s="45"/>
      <c r="R8" s="45"/>
      <c r="S8" s="45"/>
      <c r="T8" s="45"/>
      <c r="U8" s="45"/>
      <c r="V8" s="45"/>
      <c r="W8" s="45"/>
      <c r="X8" s="45"/>
      <c r="Y8" s="45"/>
      <c r="Z8" s="44"/>
      <c r="AA8" s="44"/>
      <c r="AE8" s="182"/>
      <c r="AF8" s="182"/>
      <c r="AG8" s="182"/>
      <c r="AH8" s="182"/>
      <c r="AI8" s="182"/>
      <c r="AK8" s="184"/>
      <c r="AL8" s="184"/>
      <c r="AM8" s="184"/>
      <c r="AN8" s="184"/>
      <c r="AO8" s="184"/>
      <c r="AQ8" s="184"/>
      <c r="AR8" s="184"/>
      <c r="AS8" s="184"/>
      <c r="AT8" s="184"/>
      <c r="AU8" s="184"/>
    </row>
    <row r="9" spans="3:49" x14ac:dyDescent="0.25">
      <c r="D9" s="74" t="s">
        <v>27</v>
      </c>
      <c r="E9" s="75"/>
      <c r="F9" s="75"/>
      <c r="G9" s="75"/>
      <c r="H9" s="75"/>
      <c r="I9" s="76"/>
      <c r="J9" s="76"/>
      <c r="K9" s="76"/>
      <c r="L9" s="76"/>
      <c r="M9" s="76"/>
      <c r="N9" s="76"/>
      <c r="O9" s="76"/>
      <c r="P9" s="76"/>
      <c r="Q9" s="76"/>
      <c r="R9" s="76"/>
      <c r="S9" s="76"/>
      <c r="T9" s="76"/>
      <c r="U9" s="76"/>
      <c r="V9" s="76"/>
      <c r="W9" s="76"/>
      <c r="X9" s="76"/>
      <c r="Y9" s="76"/>
      <c r="Z9" s="75"/>
      <c r="AA9" s="75"/>
      <c r="AB9" s="51"/>
      <c r="AC9" s="51"/>
      <c r="AD9" s="51"/>
      <c r="AE9" s="182"/>
      <c r="AF9" s="182"/>
      <c r="AG9" s="182"/>
      <c r="AH9" s="182"/>
      <c r="AI9" s="182"/>
      <c r="AK9" s="184"/>
      <c r="AL9" s="184"/>
      <c r="AM9" s="184"/>
      <c r="AN9" s="184"/>
      <c r="AO9" s="184"/>
      <c r="AQ9" s="184"/>
      <c r="AR9" s="184"/>
      <c r="AS9" s="184"/>
      <c r="AT9" s="184"/>
      <c r="AU9" s="184"/>
    </row>
    <row r="10" spans="3:49" x14ac:dyDescent="0.25">
      <c r="C10" s="52">
        <v>1</v>
      </c>
      <c r="E10" t="s">
        <v>8</v>
      </c>
      <c r="G10" s="163">
        <v>1600</v>
      </c>
      <c r="I10" s="47">
        <v>2000</v>
      </c>
      <c r="J10" s="67">
        <f>I10</f>
        <v>2000</v>
      </c>
      <c r="K10" s="67">
        <f t="shared" ref="K10:N10" si="0">J10</f>
        <v>2000</v>
      </c>
      <c r="L10" s="67">
        <f t="shared" si="0"/>
        <v>2000</v>
      </c>
      <c r="M10" s="67">
        <f t="shared" si="0"/>
        <v>2000</v>
      </c>
      <c r="N10" s="67">
        <f t="shared" si="0"/>
        <v>2000</v>
      </c>
      <c r="O10" s="3"/>
      <c r="P10" s="3"/>
      <c r="Q10" s="3"/>
      <c r="R10" s="3"/>
      <c r="S10" s="3"/>
      <c r="T10" s="3"/>
      <c r="U10" s="3"/>
      <c r="V10" s="3"/>
      <c r="W10" s="3"/>
      <c r="X10" s="47">
        <v>2000</v>
      </c>
      <c r="Y10" s="20">
        <f t="shared" ref="Y10:Y19" si="1">N10/X10</f>
        <v>1</v>
      </c>
      <c r="Z10" s="3"/>
      <c r="AE10" s="182"/>
      <c r="AF10" s="182"/>
      <c r="AG10" s="182"/>
      <c r="AH10" s="182"/>
      <c r="AI10" s="182"/>
      <c r="AK10" s="184"/>
      <c r="AL10" s="184"/>
      <c r="AM10" s="184"/>
      <c r="AN10" s="184"/>
      <c r="AO10" s="184"/>
      <c r="AQ10" s="184"/>
      <c r="AR10" s="184"/>
      <c r="AS10" s="184"/>
      <c r="AT10" s="184"/>
      <c r="AU10" s="184"/>
    </row>
    <row r="11" spans="3:49" x14ac:dyDescent="0.25">
      <c r="C11" s="52">
        <v>2</v>
      </c>
      <c r="E11" t="s">
        <v>11</v>
      </c>
      <c r="G11" s="163">
        <v>500</v>
      </c>
      <c r="I11" s="7">
        <f>SUM(I12:I13)</f>
        <v>550</v>
      </c>
      <c r="J11" s="7">
        <f t="shared" ref="J11:N11" si="2">SUM(J12:J13)</f>
        <v>550</v>
      </c>
      <c r="K11" s="7">
        <f t="shared" si="2"/>
        <v>560</v>
      </c>
      <c r="L11" s="7">
        <f t="shared" si="2"/>
        <v>575</v>
      </c>
      <c r="M11" s="7">
        <f t="shared" si="2"/>
        <v>575</v>
      </c>
      <c r="N11" s="7">
        <f t="shared" si="2"/>
        <v>575</v>
      </c>
      <c r="O11" s="19"/>
      <c r="P11" s="19"/>
      <c r="Q11" s="19"/>
      <c r="R11" s="19"/>
      <c r="S11" s="19"/>
      <c r="T11" s="19"/>
      <c r="U11" s="19"/>
      <c r="V11" s="19"/>
      <c r="W11" s="19"/>
      <c r="X11" s="65">
        <v>550</v>
      </c>
      <c r="Y11" s="20">
        <f t="shared" si="1"/>
        <v>1.0454545454545454</v>
      </c>
      <c r="Z11" s="20"/>
      <c r="AA11" t="s">
        <v>241</v>
      </c>
      <c r="AE11" s="182"/>
      <c r="AF11" s="182"/>
      <c r="AG11" s="182"/>
      <c r="AH11" s="182"/>
      <c r="AI11" s="182"/>
      <c r="AK11" s="184"/>
      <c r="AL11" s="184"/>
      <c r="AM11" s="184"/>
      <c r="AN11" s="184"/>
      <c r="AO11" s="184"/>
      <c r="AQ11" s="184"/>
      <c r="AR11" s="184"/>
      <c r="AS11" s="184"/>
      <c r="AT11" s="184"/>
      <c r="AU11" s="184"/>
    </row>
    <row r="12" spans="3:49" x14ac:dyDescent="0.25">
      <c r="C12" s="52">
        <v>3</v>
      </c>
      <c r="E12" s="8" t="s">
        <v>12</v>
      </c>
      <c r="F12" s="9"/>
      <c r="G12" s="164">
        <v>410</v>
      </c>
      <c r="H12" s="9"/>
      <c r="I12" s="48">
        <v>450</v>
      </c>
      <c r="J12" s="48">
        <v>450</v>
      </c>
      <c r="K12" s="48">
        <v>460</v>
      </c>
      <c r="L12" s="48">
        <v>475</v>
      </c>
      <c r="M12" s="48">
        <v>475</v>
      </c>
      <c r="N12" s="48">
        <v>475</v>
      </c>
      <c r="O12" s="10"/>
      <c r="P12" s="10"/>
      <c r="Q12" s="10"/>
      <c r="R12" s="10"/>
      <c r="S12" s="10"/>
      <c r="T12" s="10"/>
      <c r="U12" s="10"/>
      <c r="V12" s="10"/>
      <c r="W12" s="10"/>
      <c r="X12" s="48">
        <v>450</v>
      </c>
      <c r="Y12" s="20">
        <f>N12/X12</f>
        <v>1.0555555555555556</v>
      </c>
      <c r="Z12" s="10"/>
      <c r="AA12" t="s">
        <v>238</v>
      </c>
      <c r="AB12" s="51"/>
      <c r="AC12" s="51"/>
      <c r="AD12" s="51"/>
      <c r="AE12" s="182"/>
      <c r="AF12" s="182"/>
      <c r="AG12" s="182"/>
      <c r="AH12" s="182"/>
      <c r="AI12" s="182"/>
      <c r="AK12" s="184"/>
      <c r="AL12" s="184"/>
      <c r="AM12" s="184"/>
      <c r="AN12" s="184"/>
      <c r="AO12" s="184"/>
      <c r="AQ12" s="184"/>
      <c r="AR12" s="184"/>
      <c r="AS12" s="184"/>
      <c r="AT12" s="184"/>
      <c r="AU12" s="184"/>
      <c r="AW12" s="51"/>
    </row>
    <row r="13" spans="3:49" x14ac:dyDescent="0.25">
      <c r="C13" s="52">
        <v>4</v>
      </c>
      <c r="E13" s="8" t="s">
        <v>13</v>
      </c>
      <c r="F13" s="9"/>
      <c r="G13" s="164">
        <v>90</v>
      </c>
      <c r="H13" s="9"/>
      <c r="I13" s="48">
        <v>100</v>
      </c>
      <c r="J13" s="48">
        <v>100</v>
      </c>
      <c r="K13" s="48">
        <v>100</v>
      </c>
      <c r="L13" s="48">
        <v>100</v>
      </c>
      <c r="M13" s="48">
        <v>100</v>
      </c>
      <c r="N13" s="48">
        <v>100</v>
      </c>
      <c r="O13" s="10"/>
      <c r="P13" s="10"/>
      <c r="Q13" s="10"/>
      <c r="R13" s="10"/>
      <c r="S13" s="10"/>
      <c r="T13" s="10"/>
      <c r="U13" s="10"/>
      <c r="V13" s="10"/>
      <c r="W13" s="10"/>
      <c r="X13" s="48">
        <v>100</v>
      </c>
      <c r="Y13" s="20">
        <f t="shared" si="1"/>
        <v>1</v>
      </c>
      <c r="Z13" s="10"/>
      <c r="AA13" t="s">
        <v>239</v>
      </c>
      <c r="AB13" s="51"/>
      <c r="AC13" s="51"/>
      <c r="AD13" s="51"/>
      <c r="AE13" s="182"/>
      <c r="AF13" s="182"/>
      <c r="AG13" s="182"/>
      <c r="AH13" s="182"/>
      <c r="AI13" s="182"/>
      <c r="AK13" s="184"/>
      <c r="AL13" s="184"/>
      <c r="AM13" s="184"/>
      <c r="AN13" s="184"/>
      <c r="AO13" s="184"/>
      <c r="AQ13" s="184"/>
      <c r="AR13" s="184"/>
      <c r="AS13" s="184"/>
      <c r="AT13" s="184"/>
      <c r="AU13" s="184"/>
    </row>
    <row r="14" spans="3:49" x14ac:dyDescent="0.25">
      <c r="C14" s="52">
        <v>5</v>
      </c>
      <c r="E14" t="s">
        <v>9</v>
      </c>
      <c r="G14" s="163">
        <v>100</v>
      </c>
      <c r="I14" s="3">
        <f t="shared" ref="I14:N14" si="3">SUM(I15:I16)</f>
        <v>100</v>
      </c>
      <c r="J14" s="3">
        <f t="shared" si="3"/>
        <v>100</v>
      </c>
      <c r="K14" s="3">
        <f t="shared" si="3"/>
        <v>105</v>
      </c>
      <c r="L14" s="3">
        <f t="shared" si="3"/>
        <v>105</v>
      </c>
      <c r="M14" s="3">
        <f t="shared" si="3"/>
        <v>105</v>
      </c>
      <c r="N14" s="3">
        <f t="shared" si="3"/>
        <v>105</v>
      </c>
      <c r="O14" s="3"/>
      <c r="P14" s="3"/>
      <c r="Q14" s="3"/>
      <c r="R14" s="3"/>
      <c r="S14" s="3"/>
      <c r="T14" s="3"/>
      <c r="U14" s="3"/>
      <c r="V14" s="3"/>
      <c r="W14" s="3"/>
      <c r="X14" s="47">
        <v>95</v>
      </c>
      <c r="Y14" s="5">
        <f t="shared" si="1"/>
        <v>1.1052631578947369</v>
      </c>
      <c r="Z14" s="3"/>
      <c r="AA14" t="s">
        <v>240</v>
      </c>
      <c r="AE14" s="182"/>
      <c r="AF14" s="182"/>
      <c r="AG14" s="182"/>
      <c r="AH14" s="182"/>
      <c r="AI14" s="182"/>
      <c r="AK14" s="184"/>
      <c r="AL14" s="184"/>
      <c r="AM14" s="184"/>
      <c r="AN14" s="184"/>
      <c r="AO14" s="184"/>
      <c r="AQ14" s="184"/>
      <c r="AR14" s="184"/>
      <c r="AS14" s="184"/>
      <c r="AT14" s="184"/>
      <c r="AU14" s="184"/>
    </row>
    <row r="15" spans="3:49" x14ac:dyDescent="0.25">
      <c r="C15" s="52">
        <v>6</v>
      </c>
      <c r="E15" s="8" t="s">
        <v>14</v>
      </c>
      <c r="F15" s="9"/>
      <c r="G15" s="164">
        <v>70</v>
      </c>
      <c r="H15" s="9"/>
      <c r="I15" s="48">
        <v>65</v>
      </c>
      <c r="J15" s="48">
        <v>65</v>
      </c>
      <c r="K15" s="48">
        <v>70</v>
      </c>
      <c r="L15" s="48">
        <v>70</v>
      </c>
      <c r="M15" s="48">
        <v>70</v>
      </c>
      <c r="N15" s="48">
        <v>70</v>
      </c>
      <c r="O15" s="10"/>
      <c r="P15" s="10"/>
      <c r="Q15" s="10"/>
      <c r="R15" s="10"/>
      <c r="S15" s="10"/>
      <c r="T15" s="10"/>
      <c r="U15" s="10"/>
      <c r="V15" s="10"/>
      <c r="W15" s="10"/>
      <c r="X15" s="48">
        <v>65</v>
      </c>
      <c r="Y15" s="5">
        <f t="shared" si="1"/>
        <v>1.0769230769230769</v>
      </c>
      <c r="Z15" s="3"/>
      <c r="AB15" s="51"/>
      <c r="AC15" s="51"/>
      <c r="AD15" s="51"/>
      <c r="AE15" s="182"/>
      <c r="AF15" s="182"/>
      <c r="AG15" s="182"/>
      <c r="AH15" s="182"/>
      <c r="AI15" s="182"/>
      <c r="AK15" s="184"/>
      <c r="AL15" s="184"/>
      <c r="AM15" s="184"/>
      <c r="AN15" s="184"/>
      <c r="AO15" s="184"/>
      <c r="AQ15" s="184"/>
      <c r="AR15" s="184"/>
      <c r="AS15" s="184"/>
      <c r="AT15" s="184"/>
      <c r="AU15" s="184"/>
      <c r="AW15" s="51"/>
    </row>
    <row r="16" spans="3:49" x14ac:dyDescent="0.25">
      <c r="C16" s="52">
        <v>7</v>
      </c>
      <c r="E16" s="11" t="s">
        <v>15</v>
      </c>
      <c r="F16" s="12"/>
      <c r="G16" s="165">
        <v>30</v>
      </c>
      <c r="H16" s="12"/>
      <c r="I16" s="49">
        <v>35</v>
      </c>
      <c r="J16" s="49">
        <v>35</v>
      </c>
      <c r="K16" s="49">
        <v>35</v>
      </c>
      <c r="L16" s="49">
        <v>35</v>
      </c>
      <c r="M16" s="49">
        <v>35</v>
      </c>
      <c r="N16" s="49">
        <v>35</v>
      </c>
      <c r="O16" s="13"/>
      <c r="P16" s="13"/>
      <c r="Q16" s="13"/>
      <c r="R16" s="13"/>
      <c r="S16" s="13"/>
      <c r="T16" s="13"/>
      <c r="U16" s="13"/>
      <c r="V16" s="13"/>
      <c r="W16" s="13"/>
      <c r="X16" s="49">
        <v>30</v>
      </c>
      <c r="Y16" s="21">
        <f t="shared" si="1"/>
        <v>1.1666666666666667</v>
      </c>
      <c r="Z16" s="4"/>
      <c r="AA16" s="1"/>
      <c r="AB16" s="51"/>
      <c r="AC16" s="51"/>
      <c r="AD16" s="51"/>
      <c r="AE16" s="182"/>
      <c r="AF16" s="182"/>
      <c r="AG16" s="182"/>
      <c r="AH16" s="182"/>
      <c r="AI16" s="182"/>
      <c r="AK16" s="184"/>
      <c r="AL16" s="184"/>
      <c r="AM16" s="184"/>
      <c r="AN16" s="184"/>
      <c r="AO16" s="184"/>
      <c r="AQ16" s="184"/>
      <c r="AR16" s="184"/>
      <c r="AS16" s="184"/>
      <c r="AT16" s="184"/>
      <c r="AU16" s="184"/>
      <c r="AW16" s="51"/>
    </row>
    <row r="17" spans="3:49" s="6" customFormat="1" x14ac:dyDescent="0.25">
      <c r="C17" s="52">
        <v>8</v>
      </c>
      <c r="D17" s="16"/>
      <c r="E17" s="6" t="s">
        <v>10</v>
      </c>
      <c r="G17" s="7">
        <f>G10+G11-G14</f>
        <v>2000</v>
      </c>
      <c r="I17" s="7">
        <f>I10+I11-I14</f>
        <v>2450</v>
      </c>
      <c r="J17" s="7">
        <f t="shared" ref="J17:N17" si="4">J10+J11-J14</f>
        <v>2450</v>
      </c>
      <c r="K17" s="7">
        <f t="shared" si="4"/>
        <v>2455</v>
      </c>
      <c r="L17" s="7">
        <f t="shared" si="4"/>
        <v>2470</v>
      </c>
      <c r="M17" s="7">
        <f t="shared" si="4"/>
        <v>2470</v>
      </c>
      <c r="N17" s="7">
        <f t="shared" si="4"/>
        <v>2470</v>
      </c>
      <c r="O17" s="7"/>
      <c r="P17" s="7"/>
      <c r="Q17" s="7"/>
      <c r="R17" s="7"/>
      <c r="S17" s="7"/>
      <c r="T17" s="7"/>
      <c r="U17" s="7"/>
      <c r="V17" s="7"/>
      <c r="X17" s="18">
        <f>X10+X11-X14</f>
        <v>2455</v>
      </c>
      <c r="Y17" s="14">
        <f t="shared" si="1"/>
        <v>1.0061099796334012</v>
      </c>
      <c r="AE17" s="182"/>
      <c r="AF17" s="182"/>
      <c r="AG17" s="182"/>
      <c r="AH17" s="182"/>
      <c r="AI17" s="182"/>
      <c r="AK17" s="184"/>
      <c r="AL17" s="184"/>
      <c r="AM17" s="184"/>
      <c r="AN17" s="184"/>
      <c r="AO17" s="184"/>
      <c r="AQ17" s="184"/>
      <c r="AR17" s="184"/>
      <c r="AS17" s="184"/>
      <c r="AT17" s="184"/>
      <c r="AU17" s="184"/>
    </row>
    <row r="18" spans="3:49" s="6" customFormat="1" x14ac:dyDescent="0.25">
      <c r="C18" s="52">
        <f>C17+1</f>
        <v>9</v>
      </c>
      <c r="D18" s="16"/>
      <c r="E18" s="166" t="s">
        <v>246</v>
      </c>
      <c r="G18" s="180">
        <v>0.27</v>
      </c>
      <c r="I18" s="174">
        <f>I17/$G17-1</f>
        <v>0.22500000000000009</v>
      </c>
      <c r="J18" s="174">
        <f t="shared" ref="J18:X18" si="5">J17/$G17-1</f>
        <v>0.22500000000000009</v>
      </c>
      <c r="K18" s="174">
        <f t="shared" si="5"/>
        <v>0.22750000000000004</v>
      </c>
      <c r="L18" s="174">
        <f t="shared" si="5"/>
        <v>0.2350000000000001</v>
      </c>
      <c r="M18" s="174">
        <f t="shared" si="5"/>
        <v>0.2350000000000001</v>
      </c>
      <c r="N18" s="174">
        <f t="shared" si="5"/>
        <v>0.2350000000000001</v>
      </c>
      <c r="O18" s="174">
        <f t="shared" si="5"/>
        <v>-1</v>
      </c>
      <c r="P18" s="174">
        <f t="shared" si="5"/>
        <v>-1</v>
      </c>
      <c r="Q18" s="174">
        <f t="shared" si="5"/>
        <v>-1</v>
      </c>
      <c r="R18" s="174">
        <f t="shared" si="5"/>
        <v>-1</v>
      </c>
      <c r="S18" s="174">
        <f t="shared" si="5"/>
        <v>-1</v>
      </c>
      <c r="T18" s="174">
        <f t="shared" si="5"/>
        <v>-1</v>
      </c>
      <c r="U18" s="174">
        <f t="shared" si="5"/>
        <v>-1</v>
      </c>
      <c r="V18" s="174">
        <f t="shared" si="5"/>
        <v>-1</v>
      </c>
      <c r="W18" s="96"/>
      <c r="X18" s="96">
        <f t="shared" si="5"/>
        <v>0.22750000000000004</v>
      </c>
      <c r="Y18" s="14"/>
      <c r="AE18" s="182"/>
      <c r="AF18" s="182"/>
      <c r="AG18" s="182"/>
      <c r="AH18" s="182"/>
      <c r="AI18" s="182"/>
      <c r="AK18" s="184"/>
      <c r="AL18" s="184"/>
      <c r="AM18" s="184"/>
      <c r="AN18" s="184"/>
      <c r="AO18" s="184"/>
      <c r="AQ18" s="184"/>
      <c r="AR18" s="184"/>
      <c r="AS18" s="184"/>
      <c r="AT18" s="184"/>
      <c r="AU18" s="184"/>
    </row>
    <row r="19" spans="3:49" x14ac:dyDescent="0.25">
      <c r="C19" s="52">
        <f t="shared" ref="C19:C20" si="6">C18+1</f>
        <v>10</v>
      </c>
      <c r="E19" t="s">
        <v>26</v>
      </c>
      <c r="G19" s="3">
        <f>G11-G14</f>
        <v>400</v>
      </c>
      <c r="I19" s="3">
        <f>I11-I14</f>
        <v>450</v>
      </c>
      <c r="J19" s="3">
        <f t="shared" ref="J19:N19" si="7">J11-J14</f>
        <v>450</v>
      </c>
      <c r="K19" s="3">
        <f t="shared" si="7"/>
        <v>455</v>
      </c>
      <c r="L19" s="3">
        <f t="shared" si="7"/>
        <v>470</v>
      </c>
      <c r="M19" s="3">
        <f t="shared" si="7"/>
        <v>470</v>
      </c>
      <c r="N19" s="3">
        <f t="shared" si="7"/>
        <v>470</v>
      </c>
      <c r="O19" s="3"/>
      <c r="P19" s="3"/>
      <c r="Q19" s="3"/>
      <c r="R19" s="3"/>
      <c r="S19" s="3"/>
      <c r="T19" s="3"/>
      <c r="U19" s="3"/>
      <c r="V19" s="3"/>
      <c r="X19" s="22">
        <f>X11-X14</f>
        <v>455</v>
      </c>
      <c r="Y19" s="23">
        <f t="shared" si="1"/>
        <v>1.0329670329670331</v>
      </c>
      <c r="AE19" s="182"/>
      <c r="AF19" s="182"/>
      <c r="AG19" s="182"/>
      <c r="AH19" s="182"/>
      <c r="AI19" s="182"/>
      <c r="AK19" s="184"/>
      <c r="AL19" s="184"/>
      <c r="AM19" s="184"/>
      <c r="AN19" s="184"/>
      <c r="AO19" s="184"/>
      <c r="AQ19" s="184"/>
      <c r="AR19" s="184"/>
      <c r="AS19" s="184"/>
      <c r="AT19" s="184"/>
      <c r="AU19" s="184"/>
    </row>
    <row r="20" spans="3:49" x14ac:dyDescent="0.25">
      <c r="C20" s="52">
        <f t="shared" si="6"/>
        <v>11</v>
      </c>
      <c r="E20" s="166" t="s">
        <v>246</v>
      </c>
      <c r="G20" s="181">
        <v>0.15</v>
      </c>
      <c r="I20" s="174">
        <f>I19/$G19-1</f>
        <v>0.125</v>
      </c>
      <c r="J20" s="174">
        <f t="shared" ref="J20" si="8">J19/$G19-1</f>
        <v>0.125</v>
      </c>
      <c r="K20" s="174">
        <f t="shared" ref="K20" si="9">K19/$G19-1</f>
        <v>0.13749999999999996</v>
      </c>
      <c r="L20" s="174">
        <f t="shared" ref="L20" si="10">L19/$G19-1</f>
        <v>0.17500000000000004</v>
      </c>
      <c r="M20" s="174">
        <f t="shared" ref="M20" si="11">M19/$G19-1</f>
        <v>0.17500000000000004</v>
      </c>
      <c r="N20" s="174">
        <f t="shared" ref="N20" si="12">N19/$G19-1</f>
        <v>0.17500000000000004</v>
      </c>
      <c r="O20" s="174">
        <f t="shared" ref="O20" si="13">O19/$G19-1</f>
        <v>-1</v>
      </c>
      <c r="P20" s="174">
        <f t="shared" ref="P20" si="14">P19/$G19-1</f>
        <v>-1</v>
      </c>
      <c r="Q20" s="174">
        <f t="shared" ref="Q20" si="15">Q19/$G19-1</f>
        <v>-1</v>
      </c>
      <c r="R20" s="174">
        <f t="shared" ref="R20" si="16">R19/$G19-1</f>
        <v>-1</v>
      </c>
      <c r="S20" s="174">
        <f t="shared" ref="S20" si="17">S19/$G19-1</f>
        <v>-1</v>
      </c>
      <c r="T20" s="174">
        <f t="shared" ref="T20" si="18">T19/$G19-1</f>
        <v>-1</v>
      </c>
      <c r="U20" s="174">
        <f t="shared" ref="U20" si="19">U19/$G19-1</f>
        <v>-1</v>
      </c>
      <c r="V20" s="174">
        <f t="shared" ref="V20" si="20">V19/$G19-1</f>
        <v>-1</v>
      </c>
      <c r="W20" s="96"/>
      <c r="X20" s="96">
        <f t="shared" ref="X20" si="21">X19/$G19-1</f>
        <v>0.13749999999999996</v>
      </c>
      <c r="AB20" s="51"/>
      <c r="AC20" s="51"/>
      <c r="AD20" s="51"/>
      <c r="AE20" s="182"/>
      <c r="AF20" s="182"/>
      <c r="AG20" s="182"/>
      <c r="AH20" s="182"/>
      <c r="AI20" s="182"/>
      <c r="AK20" s="184"/>
      <c r="AL20" s="184"/>
      <c r="AM20" s="184"/>
      <c r="AN20" s="184"/>
      <c r="AO20" s="184"/>
      <c r="AQ20" s="184"/>
      <c r="AR20" s="184"/>
      <c r="AS20" s="184"/>
      <c r="AT20" s="184"/>
      <c r="AU20" s="184"/>
    </row>
    <row r="21" spans="3:49" x14ac:dyDescent="0.25">
      <c r="J21" s="3"/>
      <c r="K21" s="3"/>
      <c r="L21" s="3"/>
      <c r="M21" s="3"/>
      <c r="N21" s="3"/>
      <c r="O21" s="3"/>
      <c r="P21" s="3"/>
      <c r="Q21" s="3"/>
      <c r="R21" s="3"/>
      <c r="S21" s="3"/>
      <c r="T21" s="3"/>
      <c r="U21" s="3"/>
      <c r="V21" s="3"/>
      <c r="AB21" s="51"/>
      <c r="AC21" s="51"/>
      <c r="AD21" s="51"/>
      <c r="AE21" s="182"/>
      <c r="AF21" s="182"/>
      <c r="AG21" s="182"/>
      <c r="AH21" s="182"/>
      <c r="AI21" s="182"/>
      <c r="AK21" s="184"/>
      <c r="AL21" s="184"/>
      <c r="AM21" s="184"/>
      <c r="AN21" s="184"/>
      <c r="AO21" s="184"/>
      <c r="AQ21" s="184"/>
      <c r="AR21" s="184"/>
      <c r="AS21" s="184"/>
      <c r="AT21" s="184"/>
      <c r="AU21" s="184"/>
    </row>
    <row r="22" spans="3:49" x14ac:dyDescent="0.25">
      <c r="C22" s="52">
        <f>C20+1</f>
        <v>12</v>
      </c>
      <c r="E22" t="s">
        <v>275</v>
      </c>
      <c r="G22" s="203">
        <f>(-G14+G13+G10)/G10</f>
        <v>0.99375000000000002</v>
      </c>
      <c r="H22" s="203"/>
      <c r="I22" s="203">
        <f t="shared" ref="I22:N22" si="22">(-I14+I13+I10)/I10</f>
        <v>1</v>
      </c>
      <c r="J22" s="203">
        <f t="shared" si="22"/>
        <v>1</v>
      </c>
      <c r="K22" s="203">
        <f t="shared" si="22"/>
        <v>0.99750000000000005</v>
      </c>
      <c r="L22" s="203">
        <f t="shared" si="22"/>
        <v>0.99750000000000005</v>
      </c>
      <c r="M22" s="203">
        <f t="shared" si="22"/>
        <v>0.99750000000000005</v>
      </c>
      <c r="N22" s="203">
        <f t="shared" si="22"/>
        <v>0.99750000000000005</v>
      </c>
      <c r="O22" s="204"/>
      <c r="P22" s="204"/>
      <c r="Q22" s="204"/>
      <c r="R22" s="204"/>
      <c r="S22" s="204"/>
      <c r="T22" s="204"/>
      <c r="U22" s="204"/>
      <c r="V22" s="204"/>
      <c r="W22" s="203"/>
      <c r="X22" s="203">
        <f>(-X14+X13+X10)/X10</f>
        <v>1.0024999999999999</v>
      </c>
      <c r="AA22" s="214" t="s">
        <v>276</v>
      </c>
      <c r="AB22" s="51"/>
      <c r="AC22" s="51"/>
      <c r="AD22" s="51"/>
      <c r="AE22" s="182"/>
      <c r="AF22" s="182"/>
      <c r="AG22" s="182"/>
      <c r="AH22" s="182"/>
      <c r="AI22" s="182"/>
      <c r="AK22" s="184"/>
      <c r="AL22" s="184"/>
      <c r="AM22" s="184"/>
      <c r="AN22" s="184"/>
      <c r="AO22" s="184"/>
      <c r="AQ22" s="184"/>
      <c r="AR22" s="184"/>
      <c r="AS22" s="184"/>
      <c r="AT22" s="184"/>
      <c r="AU22" s="184"/>
    </row>
    <row r="23" spans="3:49" x14ac:dyDescent="0.25">
      <c r="C23" s="52">
        <f>C22+1</f>
        <v>13</v>
      </c>
      <c r="E23" t="s">
        <v>224</v>
      </c>
      <c r="G23" s="89">
        <f>G13/G11</f>
        <v>0.18</v>
      </c>
      <c r="H23" s="89"/>
      <c r="I23" s="89">
        <f>I13/I11</f>
        <v>0.18181818181818182</v>
      </c>
      <c r="J23" s="89">
        <f t="shared" ref="J23:N23" si="23">J13/J11</f>
        <v>0.18181818181818182</v>
      </c>
      <c r="K23" s="89">
        <f t="shared" si="23"/>
        <v>0.17857142857142858</v>
      </c>
      <c r="L23" s="89">
        <f t="shared" si="23"/>
        <v>0.17391304347826086</v>
      </c>
      <c r="M23" s="89">
        <f t="shared" si="23"/>
        <v>0.17391304347826086</v>
      </c>
      <c r="N23" s="89">
        <f t="shared" si="23"/>
        <v>0.17391304347826086</v>
      </c>
      <c r="O23" s="175"/>
      <c r="P23" s="175"/>
      <c r="Q23" s="175"/>
      <c r="R23" s="175"/>
      <c r="S23" s="175"/>
      <c r="T23" s="175"/>
      <c r="U23" s="175"/>
      <c r="V23" s="175"/>
      <c r="W23" s="89"/>
      <c r="X23" s="89">
        <f t="shared" ref="X23" si="24">X13/X11</f>
        <v>0.18181818181818182</v>
      </c>
      <c r="AA23" s="214" t="s">
        <v>285</v>
      </c>
      <c r="AB23" s="51"/>
      <c r="AC23" s="51"/>
      <c r="AD23" s="51"/>
      <c r="AE23" s="182"/>
      <c r="AF23" s="182"/>
      <c r="AG23" s="182"/>
      <c r="AH23" s="182"/>
      <c r="AI23" s="182"/>
      <c r="AK23" s="184"/>
      <c r="AL23" s="184"/>
      <c r="AM23" s="184"/>
      <c r="AN23" s="184"/>
      <c r="AO23" s="184"/>
      <c r="AQ23" s="184"/>
      <c r="AR23" s="184"/>
      <c r="AS23" s="184"/>
      <c r="AT23" s="184"/>
      <c r="AU23" s="184"/>
    </row>
    <row r="24" spans="3:49" x14ac:dyDescent="0.25">
      <c r="C24" s="52"/>
      <c r="J24" s="3"/>
      <c r="K24" s="3"/>
      <c r="L24" s="3"/>
      <c r="M24" s="3"/>
      <c r="N24" s="3"/>
      <c r="O24" s="3"/>
      <c r="P24" s="3"/>
      <c r="Q24" s="3"/>
      <c r="R24" s="3"/>
      <c r="S24" s="3"/>
      <c r="T24" s="3"/>
      <c r="U24" s="3"/>
      <c r="V24" s="3"/>
      <c r="AA24" s="51"/>
      <c r="AB24" s="51"/>
      <c r="AC24" s="51"/>
      <c r="AD24" s="51"/>
      <c r="AE24" s="182"/>
      <c r="AF24" s="182"/>
      <c r="AG24" s="182"/>
      <c r="AH24" s="182"/>
      <c r="AI24" s="182"/>
      <c r="AK24" s="184"/>
      <c r="AL24" s="184"/>
      <c r="AM24" s="184"/>
      <c r="AN24" s="184"/>
      <c r="AO24" s="184"/>
      <c r="AQ24" s="184"/>
      <c r="AR24" s="184"/>
      <c r="AS24" s="184"/>
      <c r="AT24" s="184"/>
      <c r="AU24" s="184"/>
    </row>
    <row r="25" spans="3:49" x14ac:dyDescent="0.25">
      <c r="C25" s="52"/>
      <c r="D25" s="74" t="s">
        <v>29</v>
      </c>
      <c r="E25" s="75"/>
      <c r="F25" s="75"/>
      <c r="G25" s="75"/>
      <c r="H25" s="75"/>
      <c r="I25" s="77"/>
      <c r="J25" s="77"/>
      <c r="K25" s="77"/>
      <c r="L25" s="77"/>
      <c r="M25" s="77"/>
      <c r="N25" s="77"/>
      <c r="O25" s="77"/>
      <c r="P25" s="77"/>
      <c r="Q25" s="77"/>
      <c r="R25" s="77"/>
      <c r="S25" s="77"/>
      <c r="T25" s="77"/>
      <c r="U25" s="77"/>
      <c r="V25" s="77"/>
      <c r="W25" s="75"/>
      <c r="X25" s="75"/>
      <c r="Y25" s="75"/>
      <c r="Z25" s="75"/>
      <c r="AA25" s="75"/>
      <c r="AE25" s="182"/>
      <c r="AF25" s="182"/>
      <c r="AG25" s="182"/>
      <c r="AH25" s="182"/>
      <c r="AI25" s="182"/>
      <c r="AK25" s="184"/>
      <c r="AL25" s="184"/>
      <c r="AM25" s="184"/>
      <c r="AN25" s="184"/>
      <c r="AO25" s="184"/>
      <c r="AQ25" s="184"/>
      <c r="AR25" s="184"/>
      <c r="AS25" s="184"/>
      <c r="AT25" s="184"/>
      <c r="AU25" s="184"/>
    </row>
    <row r="26" spans="3:49" x14ac:dyDescent="0.25">
      <c r="C26" s="52">
        <v>14</v>
      </c>
      <c r="E26" t="s">
        <v>30</v>
      </c>
      <c r="G26" s="163">
        <v>1550</v>
      </c>
      <c r="I26" s="47">
        <v>1650</v>
      </c>
      <c r="J26" s="47">
        <v>1575</v>
      </c>
      <c r="K26" s="47">
        <v>1690</v>
      </c>
      <c r="L26" s="47">
        <v>1435</v>
      </c>
      <c r="M26" s="47">
        <v>1400</v>
      </c>
      <c r="N26" s="47">
        <v>1430</v>
      </c>
      <c r="O26" s="3"/>
      <c r="P26" s="3"/>
      <c r="Q26" s="3"/>
      <c r="R26" s="3"/>
      <c r="S26" s="3"/>
      <c r="T26" s="3"/>
      <c r="U26" s="3"/>
      <c r="V26" s="3"/>
      <c r="AB26" s="51"/>
      <c r="AC26" s="51"/>
      <c r="AD26" s="51"/>
      <c r="AE26" s="182"/>
      <c r="AF26" s="182"/>
      <c r="AG26" s="182"/>
      <c r="AH26" s="182"/>
      <c r="AI26" s="182"/>
      <c r="AK26" s="184"/>
      <c r="AL26" s="184"/>
      <c r="AM26" s="184"/>
      <c r="AN26" s="184"/>
      <c r="AO26" s="184"/>
      <c r="AQ26" s="184"/>
      <c r="AR26" s="184"/>
      <c r="AS26" s="184"/>
      <c r="AT26" s="184"/>
      <c r="AU26" s="184"/>
    </row>
    <row r="27" spans="3:49" ht="15" customHeight="1" x14ac:dyDescent="0.25">
      <c r="C27" s="52">
        <v>15</v>
      </c>
      <c r="E27" t="s">
        <v>32</v>
      </c>
      <c r="G27" s="68">
        <f>G26/($G$11-G37)</f>
        <v>3.1</v>
      </c>
      <c r="I27" s="68">
        <f t="shared" ref="I27:N27" si="25">I26/($X$11-I37)</f>
        <v>3</v>
      </c>
      <c r="J27" s="68">
        <f t="shared" si="25"/>
        <v>3.0143540669856459</v>
      </c>
      <c r="K27" s="68">
        <f t="shared" si="25"/>
        <v>3.4141414141414139</v>
      </c>
      <c r="L27" s="68">
        <f t="shared" si="25"/>
        <v>3.0695187165775399</v>
      </c>
      <c r="M27" s="68">
        <f t="shared" si="25"/>
        <v>3.1818181818181817</v>
      </c>
      <c r="N27" s="68">
        <f t="shared" si="25"/>
        <v>3.4666666666666668</v>
      </c>
      <c r="AA27" t="s">
        <v>161</v>
      </c>
      <c r="AB27" s="51"/>
      <c r="AC27" s="51"/>
      <c r="AD27" s="51"/>
      <c r="AE27" s="182"/>
      <c r="AF27" s="182"/>
      <c r="AG27" s="182"/>
      <c r="AH27" s="182"/>
      <c r="AI27" s="182"/>
      <c r="AK27" s="184"/>
      <c r="AL27" s="184"/>
      <c r="AM27" s="184"/>
      <c r="AN27" s="184"/>
      <c r="AO27" s="184"/>
      <c r="AQ27" s="184"/>
      <c r="AR27" s="184"/>
      <c r="AS27" s="184"/>
      <c r="AT27" s="184"/>
      <c r="AU27" s="184"/>
      <c r="AW27" s="51"/>
    </row>
    <row r="28" spans="3:49" ht="15" customHeight="1" x14ac:dyDescent="0.25">
      <c r="C28" s="52">
        <v>16</v>
      </c>
      <c r="E28" s="9" t="s">
        <v>256</v>
      </c>
      <c r="G28" s="167">
        <f>G33/($G$11-G37)</f>
        <v>0.9</v>
      </c>
      <c r="H28" s="9"/>
      <c r="I28" s="167">
        <f>I33/($X$11-I37)</f>
        <v>0.72727272727272729</v>
      </c>
      <c r="J28" s="167">
        <f t="shared" ref="J28:N28" si="26">J33/($X$11-J37)</f>
        <v>0.8133971291866029</v>
      </c>
      <c r="K28" s="167">
        <f t="shared" si="26"/>
        <v>0.88888888888888884</v>
      </c>
      <c r="L28" s="167">
        <f t="shared" si="26"/>
        <v>0.88770053475935828</v>
      </c>
      <c r="M28" s="167">
        <f t="shared" si="26"/>
        <v>0.95454545454545459</v>
      </c>
      <c r="N28" s="167">
        <f t="shared" si="26"/>
        <v>1.0666666666666667</v>
      </c>
      <c r="AA28" t="s">
        <v>247</v>
      </c>
      <c r="AB28" s="51"/>
      <c r="AC28" s="51"/>
      <c r="AD28" s="51"/>
      <c r="AE28" s="182"/>
      <c r="AF28" s="182"/>
      <c r="AG28" s="182"/>
      <c r="AH28" s="182"/>
      <c r="AI28" s="182"/>
      <c r="AK28" s="184"/>
      <c r="AL28" s="184"/>
      <c r="AM28" s="184"/>
      <c r="AN28" s="184"/>
      <c r="AO28" s="184"/>
      <c r="AQ28" s="184"/>
      <c r="AR28" s="184"/>
      <c r="AS28" s="184"/>
      <c r="AT28" s="184"/>
      <c r="AU28" s="184"/>
      <c r="AW28" s="51"/>
    </row>
    <row r="29" spans="3:49" x14ac:dyDescent="0.25">
      <c r="C29" s="52"/>
      <c r="AB29" s="51"/>
      <c r="AC29" s="51"/>
      <c r="AD29" s="51"/>
      <c r="AE29" s="182"/>
      <c r="AF29" s="182"/>
      <c r="AG29" s="182"/>
      <c r="AH29" s="182"/>
      <c r="AI29" s="182"/>
      <c r="AK29" s="184"/>
      <c r="AL29" s="184"/>
      <c r="AM29" s="184"/>
      <c r="AN29" s="184"/>
      <c r="AO29" s="184"/>
      <c r="AQ29" s="184"/>
      <c r="AR29" s="184"/>
      <c r="AS29" s="184"/>
      <c r="AT29" s="184"/>
      <c r="AU29" s="184"/>
      <c r="AW29" s="51"/>
    </row>
    <row r="30" spans="3:49" x14ac:dyDescent="0.25">
      <c r="C30" s="52"/>
      <c r="D30" s="74" t="s">
        <v>33</v>
      </c>
      <c r="E30" s="75"/>
      <c r="F30" s="75"/>
      <c r="G30" s="75"/>
      <c r="H30" s="75"/>
      <c r="I30" s="75"/>
      <c r="J30" s="75"/>
      <c r="K30" s="75"/>
      <c r="L30" s="75"/>
      <c r="M30" s="75"/>
      <c r="N30" s="75"/>
      <c r="O30" s="75"/>
      <c r="P30" s="75"/>
      <c r="Q30" s="75"/>
      <c r="R30" s="75"/>
      <c r="S30" s="75"/>
      <c r="T30" s="75"/>
      <c r="U30" s="75"/>
      <c r="V30" s="75"/>
      <c r="W30" s="75"/>
      <c r="X30" s="75"/>
      <c r="Y30" s="75"/>
      <c r="Z30" s="75"/>
      <c r="AA30" s="75"/>
      <c r="AB30" s="51"/>
      <c r="AC30" s="51"/>
      <c r="AD30" s="51"/>
      <c r="AE30" s="182"/>
      <c r="AF30" s="182"/>
      <c r="AG30" s="182"/>
      <c r="AH30" s="182"/>
      <c r="AI30" s="182"/>
      <c r="AK30" s="184"/>
      <c r="AL30" s="184"/>
      <c r="AM30" s="184"/>
      <c r="AN30" s="184"/>
      <c r="AO30" s="184"/>
      <c r="AQ30" s="184"/>
      <c r="AR30" s="184"/>
      <c r="AS30" s="184"/>
      <c r="AT30" s="184"/>
      <c r="AU30" s="184"/>
    </row>
    <row r="31" spans="3:49" x14ac:dyDescent="0.25">
      <c r="C31" s="52">
        <v>17</v>
      </c>
      <c r="E31" t="s">
        <v>28</v>
      </c>
      <c r="G31" s="163">
        <v>600</v>
      </c>
      <c r="I31" s="46">
        <v>650</v>
      </c>
      <c r="J31" s="46">
        <v>700</v>
      </c>
      <c r="K31" s="46">
        <v>700</v>
      </c>
      <c r="L31" s="46">
        <v>725</v>
      </c>
      <c r="M31" s="46">
        <v>700</v>
      </c>
      <c r="N31" s="46">
        <v>675</v>
      </c>
      <c r="X31" s="80">
        <f>X11</f>
        <v>550</v>
      </c>
      <c r="Y31" s="20">
        <f t="shared" ref="Y31:Y34" si="27">N31/X31</f>
        <v>1.2272727272727273</v>
      </c>
      <c r="AA31" t="s">
        <v>36</v>
      </c>
      <c r="AB31" s="51"/>
      <c r="AC31" s="51"/>
      <c r="AD31" s="51"/>
      <c r="AE31" s="182"/>
      <c r="AF31" s="182"/>
      <c r="AG31" s="182"/>
      <c r="AH31" s="182"/>
      <c r="AI31" s="182"/>
      <c r="AK31" s="184"/>
      <c r="AL31" s="184"/>
      <c r="AM31" s="184"/>
      <c r="AN31" s="184"/>
      <c r="AO31" s="184"/>
      <c r="AQ31" s="184"/>
      <c r="AR31" s="184"/>
      <c r="AS31" s="184"/>
      <c r="AT31" s="184"/>
      <c r="AU31" s="184"/>
    </row>
    <row r="32" spans="3:49" x14ac:dyDescent="0.25">
      <c r="C32" s="52">
        <v>18</v>
      </c>
      <c r="E32" t="s">
        <v>225</v>
      </c>
      <c r="G32" s="163">
        <v>500</v>
      </c>
      <c r="I32" s="46">
        <v>525</v>
      </c>
      <c r="J32" s="46">
        <v>525</v>
      </c>
      <c r="K32" s="46">
        <v>550</v>
      </c>
      <c r="L32" s="46">
        <v>550</v>
      </c>
      <c r="M32" s="46">
        <v>575</v>
      </c>
      <c r="N32" s="46">
        <v>575</v>
      </c>
      <c r="X32" s="80">
        <f>X31</f>
        <v>550</v>
      </c>
      <c r="Y32" s="20">
        <f t="shared" si="27"/>
        <v>1.0454545454545454</v>
      </c>
      <c r="AA32" t="s">
        <v>226</v>
      </c>
      <c r="AB32" s="51"/>
      <c r="AC32" s="51"/>
      <c r="AD32" s="51"/>
      <c r="AE32" s="182"/>
      <c r="AF32" s="182"/>
      <c r="AG32" s="182"/>
      <c r="AH32" s="182"/>
      <c r="AI32" s="182"/>
      <c r="AK32" s="184"/>
      <c r="AL32" s="184"/>
      <c r="AM32" s="184"/>
      <c r="AN32" s="184"/>
      <c r="AO32" s="184"/>
      <c r="AQ32" s="184"/>
      <c r="AR32" s="184"/>
      <c r="AS32" s="184"/>
      <c r="AT32" s="184"/>
      <c r="AU32" s="184"/>
    </row>
    <row r="33" spans="3:47" x14ac:dyDescent="0.25">
      <c r="C33" s="52">
        <v>19</v>
      </c>
      <c r="E33" t="s">
        <v>34</v>
      </c>
      <c r="G33" s="163">
        <v>450</v>
      </c>
      <c r="I33" s="46">
        <v>400</v>
      </c>
      <c r="J33" s="46">
        <v>425</v>
      </c>
      <c r="K33" s="46">
        <v>440</v>
      </c>
      <c r="L33" s="46">
        <v>415</v>
      </c>
      <c r="M33" s="46">
        <v>420</v>
      </c>
      <c r="N33" s="46">
        <v>440</v>
      </c>
      <c r="X33" s="80">
        <f>X31</f>
        <v>550</v>
      </c>
      <c r="Y33" s="20">
        <f t="shared" si="27"/>
        <v>0.8</v>
      </c>
      <c r="AA33" t="s">
        <v>245</v>
      </c>
      <c r="AB33" s="51"/>
      <c r="AC33" s="51"/>
      <c r="AD33" s="51"/>
      <c r="AE33" s="162"/>
      <c r="AF33" s="162"/>
      <c r="AG33" s="162"/>
      <c r="AH33" s="162"/>
      <c r="AI33" s="162"/>
      <c r="AK33" s="162"/>
      <c r="AL33" s="162"/>
      <c r="AM33" s="162"/>
      <c r="AN33" s="162"/>
      <c r="AO33" s="162"/>
      <c r="AQ33" s="162"/>
      <c r="AR33" s="162"/>
      <c r="AS33" s="162"/>
      <c r="AT33" s="162"/>
      <c r="AU33" s="162"/>
    </row>
    <row r="34" spans="3:47" x14ac:dyDescent="0.25">
      <c r="C34" s="52">
        <v>20</v>
      </c>
      <c r="E34" t="s">
        <v>35</v>
      </c>
      <c r="G34" s="163">
        <v>480</v>
      </c>
      <c r="I34" s="46">
        <v>500</v>
      </c>
      <c r="J34" s="46">
        <v>450</v>
      </c>
      <c r="K34" s="46">
        <v>600</v>
      </c>
      <c r="L34" s="46">
        <v>520</v>
      </c>
      <c r="M34" s="46">
        <v>480</v>
      </c>
      <c r="N34" s="46">
        <v>490</v>
      </c>
      <c r="X34" s="80">
        <f>X33</f>
        <v>550</v>
      </c>
      <c r="Y34" s="20">
        <f t="shared" si="27"/>
        <v>0.89090909090909087</v>
      </c>
      <c r="AA34" t="s">
        <v>244</v>
      </c>
      <c r="AB34" s="51"/>
      <c r="AC34" s="51"/>
      <c r="AD34" s="51"/>
      <c r="AE34" s="162"/>
      <c r="AF34" s="162"/>
      <c r="AG34" s="162"/>
      <c r="AH34" s="162"/>
      <c r="AI34" s="162"/>
      <c r="AK34" s="162"/>
      <c r="AL34" s="162"/>
      <c r="AM34" s="162"/>
      <c r="AN34" s="162"/>
      <c r="AO34" s="162"/>
      <c r="AQ34" s="162"/>
      <c r="AR34" s="162"/>
      <c r="AS34" s="162"/>
      <c r="AT34" s="162"/>
      <c r="AU34" s="162"/>
    </row>
    <row r="35" spans="3:47" x14ac:dyDescent="0.25">
      <c r="C35" s="52"/>
      <c r="AB35" s="51"/>
      <c r="AC35" s="51"/>
      <c r="AD35" s="51"/>
      <c r="AE35" s="162"/>
      <c r="AF35" s="162"/>
      <c r="AG35" s="162"/>
      <c r="AH35" s="162"/>
      <c r="AI35" s="162"/>
      <c r="AK35" s="162"/>
      <c r="AL35" s="162"/>
      <c r="AM35" s="162"/>
      <c r="AN35" s="162"/>
      <c r="AO35" s="162"/>
      <c r="AQ35" s="162"/>
      <c r="AR35" s="162"/>
      <c r="AS35" s="162"/>
      <c r="AT35" s="162"/>
      <c r="AU35" s="162"/>
    </row>
    <row r="36" spans="3:47" x14ac:dyDescent="0.25">
      <c r="C36" s="52"/>
      <c r="D36" s="74" t="s">
        <v>31</v>
      </c>
      <c r="E36" s="75"/>
      <c r="F36" s="75"/>
      <c r="G36" s="75"/>
      <c r="H36" s="75"/>
      <c r="I36" s="75"/>
      <c r="J36" s="75"/>
      <c r="K36" s="75"/>
      <c r="L36" s="75"/>
      <c r="M36" s="75"/>
      <c r="N36" s="75"/>
      <c r="O36" s="75"/>
      <c r="P36" s="75"/>
      <c r="Q36" s="75"/>
      <c r="R36" s="75"/>
      <c r="S36" s="75"/>
      <c r="T36" s="75"/>
      <c r="U36" s="75"/>
      <c r="V36" s="75"/>
      <c r="W36" s="75"/>
      <c r="X36" s="75"/>
      <c r="Y36" s="75"/>
      <c r="Z36" s="75"/>
      <c r="AA36" s="75"/>
      <c r="AE36" s="162"/>
      <c r="AF36" s="162"/>
      <c r="AG36" s="162"/>
      <c r="AH36" s="162"/>
      <c r="AI36" s="162"/>
      <c r="AK36" s="162"/>
      <c r="AL36" s="162"/>
      <c r="AM36" s="162"/>
      <c r="AN36" s="162"/>
      <c r="AO36" s="162"/>
      <c r="AQ36" s="162"/>
      <c r="AR36" s="162"/>
      <c r="AS36" s="162"/>
      <c r="AT36" s="162"/>
      <c r="AU36" s="162"/>
    </row>
    <row r="37" spans="3:47" x14ac:dyDescent="0.25">
      <c r="C37" s="71">
        <v>21</v>
      </c>
      <c r="D37" s="72"/>
      <c r="E37" s="73" t="s">
        <v>11</v>
      </c>
      <c r="F37" s="51"/>
      <c r="G37" s="51"/>
      <c r="H37" s="51"/>
      <c r="I37" s="47">
        <v>0</v>
      </c>
      <c r="J37" s="47">
        <v>27.5</v>
      </c>
      <c r="K37" s="47">
        <v>55</v>
      </c>
      <c r="L37" s="47">
        <v>82.500000000000014</v>
      </c>
      <c r="M37" s="47">
        <v>110</v>
      </c>
      <c r="N37" s="47">
        <v>137.5</v>
      </c>
      <c r="AE37" s="162"/>
      <c r="AF37" s="162"/>
      <c r="AG37" s="162"/>
      <c r="AH37" s="162"/>
      <c r="AI37" s="162"/>
      <c r="AK37" s="162"/>
      <c r="AL37" s="162"/>
      <c r="AM37" s="162"/>
      <c r="AN37" s="162"/>
      <c r="AO37" s="162"/>
      <c r="AQ37" s="162"/>
      <c r="AR37" s="162"/>
      <c r="AS37" s="162"/>
      <c r="AT37" s="162"/>
      <c r="AU37" s="162"/>
    </row>
    <row r="38" spans="3:47" x14ac:dyDescent="0.25">
      <c r="C38" s="71">
        <v>22</v>
      </c>
      <c r="D38" s="72"/>
      <c r="E38" s="73" t="s">
        <v>37</v>
      </c>
      <c r="F38" s="66"/>
      <c r="G38" s="66"/>
      <c r="H38" s="66"/>
      <c r="I38" s="70">
        <f>I37/$X$11</f>
        <v>0</v>
      </c>
      <c r="J38" s="70">
        <f t="shared" ref="J38:N38" si="28">J37/$X$11</f>
        <v>0.05</v>
      </c>
      <c r="K38" s="70">
        <f t="shared" si="28"/>
        <v>0.1</v>
      </c>
      <c r="L38" s="70">
        <f t="shared" si="28"/>
        <v>0.15000000000000002</v>
      </c>
      <c r="M38" s="70">
        <f t="shared" si="28"/>
        <v>0.2</v>
      </c>
      <c r="N38" s="70">
        <f t="shared" si="28"/>
        <v>0.25</v>
      </c>
      <c r="AB38" s="51"/>
      <c r="AC38" s="51"/>
      <c r="AD38" s="51"/>
      <c r="AE38" s="162"/>
      <c r="AF38" s="162"/>
      <c r="AG38" s="162"/>
      <c r="AH38" s="162"/>
      <c r="AI38" s="162"/>
      <c r="AK38" s="162"/>
      <c r="AL38" s="162"/>
      <c r="AM38" s="162"/>
      <c r="AN38" s="162"/>
      <c r="AO38" s="162"/>
      <c r="AQ38" s="162"/>
      <c r="AR38" s="162"/>
      <c r="AS38" s="162"/>
      <c r="AT38" s="162"/>
      <c r="AU38" s="162"/>
    </row>
    <row r="40" spans="3:47" x14ac:dyDescent="0.25">
      <c r="E40" s="51"/>
      <c r="AB40" s="51"/>
      <c r="AC40" s="51"/>
      <c r="AD40" s="51"/>
    </row>
  </sheetData>
  <mergeCells count="3">
    <mergeCell ref="AE7:AI32"/>
    <mergeCell ref="AK7:AO32"/>
    <mergeCell ref="AQ7:AU32"/>
  </mergeCells>
  <pageMargins left="0.7" right="0.7" top="0.75" bottom="0.75" header="0.3" footer="0.3"/>
  <pageSetup scale="49" fitToHeight="0" orientation="portrait" r:id="rId1"/>
  <ignoredErrors>
    <ignoredError sqref="I19:N19 X19 X33"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AEFFD-F1EB-4E29-9335-85F1EB89B046}">
  <sheetPr>
    <pageSetUpPr fitToPage="1"/>
  </sheetPr>
  <dimension ref="C3:BJ35"/>
  <sheetViews>
    <sheetView showGridLines="0" zoomScale="70" zoomScaleNormal="70" zoomScaleSheetLayoutView="110" workbookViewId="0">
      <selection activeCell="B12" sqref="B12"/>
    </sheetView>
  </sheetViews>
  <sheetFormatPr defaultRowHeight="15" x14ac:dyDescent="0.25"/>
  <cols>
    <col min="2" max="2" width="3" customWidth="1"/>
    <col min="3" max="3" width="4.28515625" customWidth="1"/>
    <col min="4" max="4" width="26" customWidth="1"/>
    <col min="5" max="8" width="11.5703125" customWidth="1"/>
    <col min="9" max="9" width="14.7109375" customWidth="1"/>
    <col min="10" max="10" width="3.28515625" customWidth="1"/>
    <col min="11" max="11" width="14.42578125" customWidth="1"/>
    <col min="12" max="12" width="3.5703125" customWidth="1"/>
    <col min="13" max="14" width="1.7109375" customWidth="1"/>
    <col min="20" max="20" width="1.5703125" customWidth="1"/>
  </cols>
  <sheetData>
    <row r="3" spans="3:61" ht="18.75" x14ac:dyDescent="0.3">
      <c r="C3" s="91" t="s">
        <v>47</v>
      </c>
      <c r="O3" s="51"/>
    </row>
    <row r="4" spans="3:61" x14ac:dyDescent="0.25">
      <c r="D4" s="53"/>
      <c r="O4" s="51"/>
    </row>
    <row r="5" spans="3:61" ht="17.25" x14ac:dyDescent="0.4">
      <c r="E5" s="78" t="s">
        <v>175</v>
      </c>
      <c r="F5" s="78"/>
      <c r="G5" s="78"/>
      <c r="H5" s="78"/>
      <c r="I5" s="51"/>
      <c r="AC5" s="51"/>
    </row>
    <row r="6" spans="3:61" ht="17.25" customHeight="1" x14ac:dyDescent="0.25">
      <c r="E6" s="71" t="s">
        <v>180</v>
      </c>
      <c r="F6" s="71" t="s">
        <v>179</v>
      </c>
      <c r="G6" s="71" t="s">
        <v>178</v>
      </c>
      <c r="H6" s="71" t="s">
        <v>177</v>
      </c>
      <c r="I6" s="71" t="s">
        <v>176</v>
      </c>
      <c r="AC6" s="51"/>
    </row>
    <row r="7" spans="3:61" s="6" customFormat="1" ht="14.25" customHeight="1" x14ac:dyDescent="0.25">
      <c r="D7" s="41"/>
      <c r="E7" s="42" t="s">
        <v>252</v>
      </c>
      <c r="F7" s="42" t="s">
        <v>251</v>
      </c>
      <c r="G7" s="42" t="s">
        <v>249</v>
      </c>
      <c r="H7" s="42" t="s">
        <v>250</v>
      </c>
      <c r="I7" s="42" t="s">
        <v>46</v>
      </c>
      <c r="J7" s="41"/>
      <c r="K7" s="41" t="s">
        <v>16</v>
      </c>
      <c r="O7" s="185" t="s">
        <v>150</v>
      </c>
      <c r="P7" s="185"/>
      <c r="Q7" s="185"/>
      <c r="R7" s="185"/>
      <c r="S7" s="185"/>
      <c r="U7" s="185" t="s">
        <v>253</v>
      </c>
      <c r="V7" s="185"/>
      <c r="W7" s="185"/>
      <c r="X7" s="185"/>
      <c r="Y7" s="185"/>
      <c r="Z7" s="185"/>
    </row>
    <row r="8" spans="3:61" s="6" customFormat="1" ht="11.25" customHeight="1" x14ac:dyDescent="0.25">
      <c r="C8" s="52" t="s">
        <v>264</v>
      </c>
      <c r="D8" s="44"/>
      <c r="E8" s="45"/>
      <c r="F8" s="45"/>
      <c r="G8" s="45"/>
      <c r="H8" s="45"/>
      <c r="I8" s="45"/>
      <c r="J8" s="44"/>
      <c r="K8" s="44"/>
      <c r="O8" s="185"/>
      <c r="P8" s="185"/>
      <c r="Q8" s="185"/>
      <c r="R8" s="185"/>
      <c r="S8" s="185"/>
      <c r="U8" s="185"/>
      <c r="V8" s="185"/>
      <c r="W8" s="185"/>
      <c r="X8" s="185"/>
      <c r="Y8" s="185"/>
      <c r="Z8" s="185"/>
      <c r="AK8" s="53"/>
    </row>
    <row r="9" spans="3:61" s="6" customFormat="1" x14ac:dyDescent="0.25">
      <c r="D9" s="74" t="s">
        <v>187</v>
      </c>
      <c r="E9" s="75"/>
      <c r="F9" s="75"/>
      <c r="G9" s="75"/>
      <c r="H9" s="75"/>
      <c r="I9" s="75"/>
      <c r="J9" s="75"/>
      <c r="K9" s="75"/>
      <c r="O9" s="185"/>
      <c r="P9" s="185"/>
      <c r="Q9" s="185"/>
      <c r="R9" s="185"/>
      <c r="S9" s="185"/>
      <c r="U9" s="185"/>
      <c r="V9" s="185"/>
      <c r="W9" s="185"/>
      <c r="X9" s="185"/>
      <c r="Y9" s="185"/>
      <c r="Z9" s="185"/>
      <c r="AK9" s="53"/>
    </row>
    <row r="10" spans="3:61" x14ac:dyDescent="0.25">
      <c r="C10" s="52">
        <v>1</v>
      </c>
      <c r="D10" t="s">
        <v>48</v>
      </c>
      <c r="E10" s="46">
        <v>30000</v>
      </c>
      <c r="F10" s="46">
        <f>1.2*E10</f>
        <v>36000</v>
      </c>
      <c r="G10" s="46">
        <f>1.2*F10</f>
        <v>43200</v>
      </c>
      <c r="H10" s="46">
        <f>1.2*G10</f>
        <v>51840</v>
      </c>
      <c r="I10" s="46">
        <f>1.2*H10</f>
        <v>62208</v>
      </c>
      <c r="O10" s="185"/>
      <c r="P10" s="185"/>
      <c r="Q10" s="185"/>
      <c r="R10" s="185"/>
      <c r="S10" s="185"/>
      <c r="U10" s="185"/>
      <c r="V10" s="185"/>
      <c r="W10" s="185"/>
      <c r="X10" s="185"/>
      <c r="Y10" s="185"/>
      <c r="Z10" s="185"/>
    </row>
    <row r="11" spans="3:61" x14ac:dyDescent="0.25">
      <c r="E11" s="3"/>
      <c r="F11" s="3"/>
      <c r="G11" s="3"/>
      <c r="H11" s="3"/>
      <c r="I11" s="3"/>
      <c r="O11" s="185"/>
      <c r="P11" s="185"/>
      <c r="Q11" s="185"/>
      <c r="R11" s="185"/>
      <c r="S11" s="185"/>
      <c r="U11" s="185"/>
      <c r="V11" s="185"/>
      <c r="W11" s="185"/>
      <c r="X11" s="185"/>
      <c r="Y11" s="185"/>
      <c r="Z11" s="185"/>
    </row>
    <row r="12" spans="3:61" x14ac:dyDescent="0.25">
      <c r="C12" s="52">
        <v>2</v>
      </c>
      <c r="D12" t="s">
        <v>38</v>
      </c>
      <c r="E12" s="46">
        <v>2000</v>
      </c>
      <c r="F12" s="46">
        <v>2200</v>
      </c>
      <c r="G12" s="46">
        <v>2400</v>
      </c>
      <c r="H12" s="46">
        <v>2600</v>
      </c>
      <c r="I12" s="46">
        <v>2800</v>
      </c>
      <c r="O12" s="185"/>
      <c r="P12" s="185"/>
      <c r="Q12" s="185"/>
      <c r="R12" s="185"/>
      <c r="S12" s="185"/>
      <c r="U12" s="185"/>
      <c r="V12" s="185"/>
      <c r="W12" s="185"/>
      <c r="X12" s="185"/>
      <c r="Y12" s="185"/>
      <c r="Z12" s="185"/>
      <c r="AA12" s="89"/>
    </row>
    <row r="13" spans="3:61" x14ac:dyDescent="0.25">
      <c r="C13" s="52">
        <v>3</v>
      </c>
      <c r="D13" t="s">
        <v>40</v>
      </c>
      <c r="E13" s="46">
        <f>1.2*E14</f>
        <v>1200</v>
      </c>
      <c r="F13" s="46">
        <f>1.4*F14</f>
        <v>1610</v>
      </c>
      <c r="G13" s="46">
        <f>1.15*G14</f>
        <v>1609.9999999999998</v>
      </c>
      <c r="H13" s="46">
        <f>1.3*H14</f>
        <v>2340</v>
      </c>
      <c r="I13" s="46">
        <f>1.4*I14</f>
        <v>2800</v>
      </c>
      <c r="O13" s="185"/>
      <c r="P13" s="185"/>
      <c r="Q13" s="185"/>
      <c r="R13" s="185"/>
      <c r="S13" s="185"/>
      <c r="U13" s="185"/>
      <c r="V13" s="185"/>
      <c r="W13" s="185"/>
      <c r="X13" s="185"/>
      <c r="Y13" s="185"/>
      <c r="Z13" s="185"/>
      <c r="AA13" s="89"/>
    </row>
    <row r="14" spans="3:61" x14ac:dyDescent="0.25">
      <c r="C14" s="52">
        <v>4</v>
      </c>
      <c r="D14" t="s">
        <v>39</v>
      </c>
      <c r="E14" s="46">
        <v>1000</v>
      </c>
      <c r="F14" s="46">
        <v>1150</v>
      </c>
      <c r="G14" s="46">
        <v>1400</v>
      </c>
      <c r="H14" s="46">
        <v>1800</v>
      </c>
      <c r="I14" s="46">
        <v>2000</v>
      </c>
      <c r="K14" s="51"/>
      <c r="O14" s="185"/>
      <c r="P14" s="185"/>
      <c r="Q14" s="185"/>
      <c r="R14" s="185"/>
      <c r="S14" s="185"/>
      <c r="U14" s="185"/>
      <c r="V14" s="185"/>
      <c r="W14" s="185"/>
      <c r="X14" s="185"/>
      <c r="Y14" s="185"/>
      <c r="Z14" s="185"/>
      <c r="AA14" s="89"/>
      <c r="AS14" s="51"/>
      <c r="AZ14" s="51"/>
      <c r="BI14" t="s">
        <v>151</v>
      </c>
    </row>
    <row r="15" spans="3:61" x14ac:dyDescent="0.25">
      <c r="C15" s="52">
        <v>5</v>
      </c>
      <c r="D15" t="s">
        <v>169</v>
      </c>
      <c r="E15" s="46">
        <v>95</v>
      </c>
      <c r="F15" s="46">
        <v>110</v>
      </c>
      <c r="G15" s="46">
        <v>125</v>
      </c>
      <c r="H15" s="46">
        <v>145</v>
      </c>
      <c r="I15" s="46">
        <v>165</v>
      </c>
      <c r="O15" s="185"/>
      <c r="P15" s="185"/>
      <c r="Q15" s="185"/>
      <c r="R15" s="185"/>
      <c r="S15" s="185"/>
      <c r="U15" s="185"/>
      <c r="V15" s="185"/>
      <c r="W15" s="185"/>
      <c r="X15" s="185"/>
      <c r="Y15" s="185"/>
      <c r="Z15" s="185"/>
      <c r="AA15" s="89"/>
    </row>
    <row r="16" spans="3:61" x14ac:dyDescent="0.25">
      <c r="C16" s="52">
        <v>6</v>
      </c>
      <c r="D16" t="s">
        <v>170</v>
      </c>
      <c r="E16" s="46">
        <f>0.7*E15</f>
        <v>66.5</v>
      </c>
      <c r="F16" s="46">
        <f>0.6*F15</f>
        <v>66</v>
      </c>
      <c r="G16" s="46">
        <f>0.7*G15</f>
        <v>87.5</v>
      </c>
      <c r="H16" s="46">
        <f>0.65*H15</f>
        <v>94.25</v>
      </c>
      <c r="I16" s="46">
        <f>0.7*I15</f>
        <v>115.49999999999999</v>
      </c>
      <c r="O16" s="185"/>
      <c r="P16" s="185"/>
      <c r="Q16" s="185"/>
      <c r="R16" s="185"/>
      <c r="S16" s="185"/>
      <c r="U16" s="185"/>
      <c r="V16" s="185"/>
      <c r="W16" s="185"/>
      <c r="X16" s="185"/>
      <c r="Y16" s="185"/>
      <c r="Z16" s="185"/>
      <c r="AA16" s="89"/>
      <c r="BI16" t="s">
        <v>171</v>
      </c>
    </row>
    <row r="17" spans="3:62" x14ac:dyDescent="0.25">
      <c r="C17" s="52">
        <v>7</v>
      </c>
      <c r="D17" t="s">
        <v>41</v>
      </c>
      <c r="E17" s="46">
        <v>8</v>
      </c>
      <c r="F17" s="46">
        <v>8</v>
      </c>
      <c r="G17" s="46">
        <f>0.15*E16</f>
        <v>9.9749999999999996</v>
      </c>
      <c r="H17" s="46">
        <v>10</v>
      </c>
      <c r="I17" s="46">
        <v>10</v>
      </c>
      <c r="O17" s="185"/>
      <c r="P17" s="185"/>
      <c r="Q17" s="185"/>
      <c r="R17" s="185"/>
      <c r="S17" s="185"/>
      <c r="U17" s="185"/>
      <c r="V17" s="185"/>
      <c r="W17" s="185"/>
      <c r="X17" s="185"/>
      <c r="Y17" s="185"/>
      <c r="Z17" s="185"/>
      <c r="AA17" s="89"/>
      <c r="BI17" t="s">
        <v>172</v>
      </c>
    </row>
    <row r="18" spans="3:62" x14ac:dyDescent="0.25">
      <c r="C18" s="52">
        <v>8</v>
      </c>
      <c r="D18" t="s">
        <v>183</v>
      </c>
      <c r="E18" s="46">
        <v>120000</v>
      </c>
      <c r="F18" s="46">
        <v>125000</v>
      </c>
      <c r="G18" s="46">
        <v>140000</v>
      </c>
      <c r="H18" s="46">
        <v>175000</v>
      </c>
      <c r="I18" s="46">
        <v>190000</v>
      </c>
      <c r="O18" s="185"/>
      <c r="P18" s="185"/>
      <c r="Q18" s="185"/>
      <c r="R18" s="185"/>
      <c r="S18" s="185"/>
      <c r="U18" s="185"/>
      <c r="V18" s="185"/>
      <c r="W18" s="185"/>
      <c r="X18" s="185"/>
      <c r="Y18" s="185"/>
      <c r="Z18" s="185"/>
      <c r="AA18" s="89"/>
      <c r="BI18" t="s">
        <v>152</v>
      </c>
    </row>
    <row r="19" spans="3:62" ht="11.25" customHeight="1" x14ac:dyDescent="0.25">
      <c r="O19" s="185"/>
      <c r="P19" s="185"/>
      <c r="Q19" s="185"/>
      <c r="R19" s="185"/>
      <c r="S19" s="185"/>
      <c r="U19" s="185"/>
      <c r="V19" s="185"/>
      <c r="W19" s="185"/>
      <c r="X19" s="185"/>
      <c r="Y19" s="185"/>
      <c r="Z19" s="185"/>
      <c r="BI19" s="29">
        <v>0.2</v>
      </c>
      <c r="BJ19" t="s">
        <v>153</v>
      </c>
    </row>
    <row r="20" spans="3:62" x14ac:dyDescent="0.25">
      <c r="C20" s="52"/>
      <c r="D20" s="74" t="s">
        <v>185</v>
      </c>
      <c r="E20" s="75"/>
      <c r="F20" s="75"/>
      <c r="G20" s="75"/>
      <c r="H20" s="75"/>
      <c r="I20" s="75"/>
      <c r="J20" s="75"/>
      <c r="K20" s="75"/>
      <c r="O20" s="185"/>
      <c r="P20" s="185"/>
      <c r="Q20" s="185"/>
      <c r="R20" s="185"/>
      <c r="S20" s="185"/>
      <c r="U20" s="185"/>
      <c r="V20" s="185"/>
      <c r="W20" s="185"/>
      <c r="X20" s="185"/>
      <c r="Y20" s="185"/>
      <c r="Z20" s="185"/>
      <c r="BI20" s="29"/>
    </row>
    <row r="21" spans="3:62" x14ac:dyDescent="0.25">
      <c r="C21" s="52">
        <v>9</v>
      </c>
      <c r="D21" t="s">
        <v>50</v>
      </c>
      <c r="E21" s="3">
        <f>E18/E14</f>
        <v>120</v>
      </c>
      <c r="F21" s="3">
        <f>F18/F14</f>
        <v>108.69565217391305</v>
      </c>
      <c r="G21" s="3">
        <f>G18/G14</f>
        <v>100</v>
      </c>
      <c r="H21" s="3">
        <f>H18/H14</f>
        <v>97.222222222222229</v>
      </c>
      <c r="I21" s="3">
        <f>I18/I14</f>
        <v>95</v>
      </c>
      <c r="O21" s="185"/>
      <c r="P21" s="185"/>
      <c r="Q21" s="185"/>
      <c r="R21" s="185"/>
      <c r="S21" s="185"/>
      <c r="U21" s="185"/>
      <c r="V21" s="185"/>
      <c r="W21" s="185"/>
      <c r="X21" s="185"/>
      <c r="Y21" s="185"/>
      <c r="Z21" s="185"/>
      <c r="BI21" s="29">
        <v>0.25</v>
      </c>
      <c r="BJ21" t="s">
        <v>154</v>
      </c>
    </row>
    <row r="22" spans="3:62" x14ac:dyDescent="0.25">
      <c r="C22" s="52">
        <v>10</v>
      </c>
      <c r="D22" t="s">
        <v>167</v>
      </c>
      <c r="E22" s="3">
        <f>E18/E15</f>
        <v>1263.1578947368421</v>
      </c>
      <c r="F22" s="3">
        <f>F18/F15</f>
        <v>1136.3636363636363</v>
      </c>
      <c r="G22" s="3">
        <f>G18/G15</f>
        <v>1120</v>
      </c>
      <c r="H22" s="3">
        <f>H18/H15</f>
        <v>1206.8965517241379</v>
      </c>
      <c r="I22" s="3">
        <f>I18/I15</f>
        <v>1151.5151515151515</v>
      </c>
      <c r="O22" s="185"/>
      <c r="P22" s="185"/>
      <c r="Q22" s="185"/>
      <c r="R22" s="185"/>
      <c r="S22" s="185"/>
      <c r="U22" s="185"/>
      <c r="V22" s="185"/>
      <c r="W22" s="185"/>
      <c r="X22" s="185"/>
      <c r="Y22" s="185"/>
      <c r="Z22" s="185"/>
      <c r="BI22" s="29">
        <v>0.32</v>
      </c>
      <c r="BJ22" t="s">
        <v>155</v>
      </c>
    </row>
    <row r="23" spans="3:62" x14ac:dyDescent="0.25">
      <c r="C23" s="52">
        <v>11</v>
      </c>
      <c r="D23" t="s">
        <v>168</v>
      </c>
      <c r="E23" s="3">
        <f>E18/E16</f>
        <v>1804.5112781954888</v>
      </c>
      <c r="F23" s="3">
        <f>F18/F16</f>
        <v>1893.939393939394</v>
      </c>
      <c r="G23" s="3">
        <f>G18/G16</f>
        <v>1600</v>
      </c>
      <c r="H23" s="3">
        <f>H18/H16</f>
        <v>1856.7639257294429</v>
      </c>
      <c r="I23" s="3">
        <f>I18/I16</f>
        <v>1645.0216450216453</v>
      </c>
      <c r="O23" s="185"/>
      <c r="P23" s="185"/>
      <c r="Q23" s="185"/>
      <c r="R23" s="185"/>
      <c r="S23" s="185"/>
      <c r="T23" s="51"/>
      <c r="U23" s="185"/>
      <c r="V23" s="185"/>
      <c r="W23" s="185"/>
      <c r="X23" s="185"/>
      <c r="Y23" s="185"/>
      <c r="Z23" s="185"/>
      <c r="BI23" s="29">
        <v>0.4</v>
      </c>
      <c r="BJ23" t="s">
        <v>156</v>
      </c>
    </row>
    <row r="24" spans="3:62" x14ac:dyDescent="0.25">
      <c r="C24" s="52">
        <v>12</v>
      </c>
      <c r="D24" t="s">
        <v>49</v>
      </c>
      <c r="E24" s="3">
        <f>87000/E17</f>
        <v>10875</v>
      </c>
      <c r="F24" s="3">
        <f>95000/F17</f>
        <v>11875</v>
      </c>
      <c r="G24" s="3">
        <f>E18/G17</f>
        <v>12030.075187969926</v>
      </c>
      <c r="H24" s="3">
        <f>F18/H17</f>
        <v>12500</v>
      </c>
      <c r="I24" s="3">
        <f>G18/I17</f>
        <v>14000</v>
      </c>
      <c r="O24" s="185"/>
      <c r="P24" s="185"/>
      <c r="Q24" s="185"/>
      <c r="R24" s="185"/>
      <c r="S24" s="185"/>
      <c r="U24" s="185"/>
      <c r="V24" s="185"/>
      <c r="W24" s="185"/>
      <c r="X24" s="185"/>
      <c r="Y24" s="185"/>
      <c r="Z24" s="185"/>
      <c r="AA24" s="89"/>
    </row>
    <row r="25" spans="3:62" ht="11.25" customHeight="1" x14ac:dyDescent="0.25">
      <c r="O25" s="185"/>
      <c r="P25" s="185"/>
      <c r="Q25" s="185"/>
      <c r="R25" s="185"/>
      <c r="S25" s="185"/>
      <c r="T25" s="51"/>
      <c r="U25" s="185"/>
      <c r="V25" s="185"/>
      <c r="W25" s="185"/>
      <c r="X25" s="185"/>
      <c r="Y25" s="185"/>
      <c r="Z25" s="185"/>
      <c r="AS25" s="51"/>
      <c r="BI25" t="s">
        <v>173</v>
      </c>
    </row>
    <row r="26" spans="3:62" x14ac:dyDescent="0.25">
      <c r="D26" s="74" t="s">
        <v>186</v>
      </c>
      <c r="E26" s="75"/>
      <c r="F26" s="75"/>
      <c r="G26" s="75"/>
      <c r="H26" s="75"/>
      <c r="I26" s="75"/>
      <c r="J26" s="75"/>
      <c r="K26" s="87" t="s">
        <v>181</v>
      </c>
      <c r="O26" s="90"/>
      <c r="P26" s="90"/>
      <c r="Q26" s="90"/>
      <c r="R26" s="90"/>
      <c r="S26" s="90"/>
      <c r="T26" s="51"/>
      <c r="U26" s="90"/>
      <c r="V26" s="90"/>
      <c r="W26" s="90"/>
      <c r="X26" s="90"/>
      <c r="Y26" s="90"/>
      <c r="Z26" s="90"/>
      <c r="BI26" t="s">
        <v>174</v>
      </c>
    </row>
    <row r="27" spans="3:62" x14ac:dyDescent="0.25">
      <c r="C27" s="52">
        <v>13</v>
      </c>
      <c r="D27" s="73" t="s">
        <v>164</v>
      </c>
      <c r="E27" s="86">
        <f t="shared" ref="E27:I29" si="0">E15/E14</f>
        <v>9.5000000000000001E-2</v>
      </c>
      <c r="F27" s="86">
        <f t="shared" si="0"/>
        <v>9.5652173913043481E-2</v>
      </c>
      <c r="G27" s="86">
        <f t="shared" si="0"/>
        <v>8.9285714285714288E-2</v>
      </c>
      <c r="H27" s="86">
        <f t="shared" si="0"/>
        <v>8.0555555555555561E-2</v>
      </c>
      <c r="I27" s="86">
        <f t="shared" si="0"/>
        <v>8.2500000000000004E-2</v>
      </c>
      <c r="J27" s="73"/>
      <c r="K27" s="88">
        <v>0.1</v>
      </c>
      <c r="O27" s="90"/>
      <c r="P27" s="90"/>
      <c r="Q27" s="90"/>
      <c r="R27" s="90"/>
      <c r="S27" s="90"/>
      <c r="U27" s="90"/>
      <c r="V27" s="90"/>
      <c r="W27" s="90"/>
      <c r="X27" s="90"/>
      <c r="Y27" s="90"/>
      <c r="Z27" s="90"/>
    </row>
    <row r="28" spans="3:62" x14ac:dyDescent="0.25">
      <c r="C28" s="52">
        <v>14</v>
      </c>
      <c r="D28" s="73" t="s">
        <v>166</v>
      </c>
      <c r="E28" s="86">
        <f t="shared" si="0"/>
        <v>0.7</v>
      </c>
      <c r="F28" s="86">
        <f t="shared" si="0"/>
        <v>0.6</v>
      </c>
      <c r="G28" s="86">
        <f t="shared" si="0"/>
        <v>0.7</v>
      </c>
      <c r="H28" s="86">
        <f t="shared" si="0"/>
        <v>0.65</v>
      </c>
      <c r="I28" s="86">
        <f t="shared" si="0"/>
        <v>0.7</v>
      </c>
      <c r="J28" s="73"/>
      <c r="K28" s="88">
        <v>0.7</v>
      </c>
      <c r="O28" s="90"/>
      <c r="P28" s="90"/>
      <c r="Q28" s="90"/>
      <c r="R28" s="90"/>
      <c r="S28" s="90"/>
      <c r="U28" s="90"/>
      <c r="V28" s="90"/>
      <c r="W28" s="90"/>
      <c r="X28" s="90"/>
      <c r="Y28" s="90"/>
      <c r="Z28" s="90"/>
    </row>
    <row r="29" spans="3:62" x14ac:dyDescent="0.25">
      <c r="C29" s="71">
        <v>15</v>
      </c>
      <c r="D29" s="73" t="s">
        <v>165</v>
      </c>
      <c r="E29" s="86">
        <f t="shared" si="0"/>
        <v>0.12030075187969924</v>
      </c>
      <c r="F29" s="86">
        <f t="shared" si="0"/>
        <v>0.12121212121212122</v>
      </c>
      <c r="G29" s="86">
        <f t="shared" si="0"/>
        <v>0.11399999999999999</v>
      </c>
      <c r="H29" s="86">
        <f t="shared" si="0"/>
        <v>0.10610079575596817</v>
      </c>
      <c r="I29" s="86">
        <f t="shared" si="0"/>
        <v>8.658008658008659E-2</v>
      </c>
      <c r="J29" s="73"/>
      <c r="K29" s="88">
        <v>0.2</v>
      </c>
      <c r="O29" s="90"/>
      <c r="P29" s="90"/>
      <c r="Q29" s="90"/>
      <c r="R29" s="90"/>
      <c r="S29" s="90"/>
      <c r="U29" s="90"/>
      <c r="V29" s="90"/>
      <c r="W29" s="90"/>
      <c r="X29" s="90"/>
      <c r="Y29" s="90"/>
      <c r="Z29" s="90"/>
    </row>
    <row r="30" spans="3:62" x14ac:dyDescent="0.25">
      <c r="D30" s="51"/>
      <c r="E30" s="54"/>
      <c r="F30" s="54"/>
      <c r="G30" s="54"/>
      <c r="H30" s="54"/>
      <c r="I30" s="54"/>
      <c r="J30" s="51"/>
      <c r="L30" s="51"/>
      <c r="M30" s="51"/>
      <c r="N30" s="51"/>
    </row>
    <row r="31" spans="3:62" x14ac:dyDescent="0.25">
      <c r="C31" s="71"/>
      <c r="J31" s="51"/>
    </row>
    <row r="32" spans="3:62" x14ac:dyDescent="0.25">
      <c r="J32" s="51"/>
    </row>
    <row r="33" spans="4:10" x14ac:dyDescent="0.25">
      <c r="J33" s="51"/>
    </row>
    <row r="34" spans="4:10" x14ac:dyDescent="0.25">
      <c r="D34" s="51"/>
      <c r="E34" s="54"/>
      <c r="F34" s="54"/>
      <c r="G34" s="54"/>
      <c r="H34" s="54"/>
      <c r="I34" s="54"/>
      <c r="J34" s="51"/>
    </row>
    <row r="35" spans="4:10" x14ac:dyDescent="0.25">
      <c r="E35" s="54"/>
      <c r="F35" s="54"/>
      <c r="G35" s="54"/>
      <c r="H35" s="54"/>
      <c r="I35" s="54"/>
    </row>
  </sheetData>
  <mergeCells count="2">
    <mergeCell ref="O7:S25"/>
    <mergeCell ref="U7:Z25"/>
  </mergeCells>
  <pageMargins left="0.7" right="0.7" top="0.75" bottom="0.75" header="0.3" footer="0.3"/>
  <pageSetup scale="78" fitToHeight="0" orientation="portrait" r:id="rId1"/>
  <ignoredErrors>
    <ignoredError sqref="F16 H1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7B15-4267-46A0-ABA3-3CD57A8ED14A}">
  <sheetPr>
    <pageSetUpPr fitToPage="1"/>
  </sheetPr>
  <dimension ref="C3:Y26"/>
  <sheetViews>
    <sheetView showGridLines="0" zoomScale="70" zoomScaleNormal="70" zoomScaleSheetLayoutView="150" workbookViewId="0">
      <selection activeCell="D22" sqref="D22"/>
    </sheetView>
  </sheetViews>
  <sheetFormatPr defaultRowHeight="15" x14ac:dyDescent="0.25"/>
  <cols>
    <col min="2" max="2" width="3.140625" customWidth="1"/>
    <col min="3" max="3" width="5.7109375" customWidth="1"/>
    <col min="4" max="4" width="24.140625" customWidth="1"/>
    <col min="5" max="5" width="11.7109375" style="15" customWidth="1"/>
    <col min="6" max="6" width="2.5703125" style="15" customWidth="1"/>
    <col min="7" max="8" width="11.85546875" style="15" customWidth="1"/>
    <col min="9" max="9" width="2.5703125" style="15" customWidth="1"/>
    <col min="10" max="10" width="11.85546875" style="15" customWidth="1"/>
    <col min="11" max="11" width="11.85546875" customWidth="1"/>
    <col min="12" max="12" width="2.42578125" customWidth="1"/>
    <col min="13" max="13" width="39.5703125" customWidth="1"/>
    <col min="14" max="16" width="2.85546875" customWidth="1"/>
    <col min="17" max="20" width="21.5703125" customWidth="1"/>
    <col min="21" max="21" width="3.28515625" customWidth="1"/>
    <col min="22" max="25" width="27.42578125" customWidth="1"/>
    <col min="26" max="26" width="2.42578125" customWidth="1"/>
  </cols>
  <sheetData>
    <row r="3" spans="3:25" ht="18.75" x14ac:dyDescent="0.3">
      <c r="C3" s="91" t="s">
        <v>62</v>
      </c>
    </row>
    <row r="4" spans="3:25" ht="15.75" x14ac:dyDescent="0.25">
      <c r="C4" s="95" t="s">
        <v>56</v>
      </c>
      <c r="N4" s="51"/>
      <c r="O4" s="51"/>
      <c r="P4" s="51"/>
    </row>
    <row r="5" spans="3:25" x14ac:dyDescent="0.25">
      <c r="N5" s="51"/>
      <c r="O5" s="51"/>
      <c r="P5" s="51"/>
    </row>
    <row r="6" spans="3:25" s="6" customFormat="1" x14ac:dyDescent="0.25">
      <c r="D6" s="41" t="s">
        <v>254</v>
      </c>
      <c r="E6" s="42" t="s">
        <v>188</v>
      </c>
      <c r="F6" s="42"/>
      <c r="G6" s="42" t="s">
        <v>39</v>
      </c>
      <c r="H6" s="42" t="s">
        <v>258</v>
      </c>
      <c r="I6" s="42"/>
      <c r="J6" s="42" t="s">
        <v>184</v>
      </c>
      <c r="K6" s="42" t="s">
        <v>189</v>
      </c>
      <c r="L6" s="41"/>
      <c r="M6" s="40" t="s">
        <v>16</v>
      </c>
      <c r="Q6" s="185" t="s">
        <v>260</v>
      </c>
      <c r="R6" s="186"/>
      <c r="S6" s="186"/>
      <c r="T6" s="186"/>
      <c r="V6" s="185" t="s">
        <v>259</v>
      </c>
      <c r="W6" s="186"/>
      <c r="X6" s="186"/>
      <c r="Y6" s="186"/>
    </row>
    <row r="7" spans="3:25" s="6" customFormat="1" ht="12" customHeight="1" x14ac:dyDescent="0.25">
      <c r="C7" s="9" t="s">
        <v>264</v>
      </c>
      <c r="D7" s="83"/>
      <c r="E7" s="24"/>
      <c r="F7" s="24"/>
      <c r="G7" s="24"/>
      <c r="H7" s="24"/>
      <c r="I7" s="24"/>
      <c r="J7" s="24"/>
      <c r="K7" s="24"/>
      <c r="M7" s="17"/>
      <c r="Q7" s="186"/>
      <c r="R7" s="186"/>
      <c r="S7" s="186"/>
      <c r="T7" s="186"/>
      <c r="V7" s="186"/>
      <c r="W7" s="186"/>
      <c r="X7" s="186"/>
      <c r="Y7" s="186"/>
    </row>
    <row r="8" spans="3:25" x14ac:dyDescent="0.25">
      <c r="C8" s="9">
        <v>1</v>
      </c>
      <c r="D8" t="s">
        <v>51</v>
      </c>
      <c r="E8" s="55">
        <v>10000</v>
      </c>
      <c r="F8" s="55"/>
      <c r="G8" s="55">
        <v>80</v>
      </c>
      <c r="H8" s="55">
        <v>56</v>
      </c>
      <c r="J8" s="26">
        <f>E8/G8</f>
        <v>125</v>
      </c>
      <c r="K8" s="3">
        <f>E8/H8</f>
        <v>178.57142857142858</v>
      </c>
      <c r="M8" t="s">
        <v>59</v>
      </c>
      <c r="Q8" s="186"/>
      <c r="R8" s="186"/>
      <c r="S8" s="186"/>
      <c r="T8" s="186"/>
      <c r="V8" s="186"/>
      <c r="W8" s="186"/>
      <c r="X8" s="186"/>
      <c r="Y8" s="186"/>
    </row>
    <row r="9" spans="3:25" x14ac:dyDescent="0.25">
      <c r="C9" s="9">
        <v>2</v>
      </c>
      <c r="D9" t="s">
        <v>52</v>
      </c>
      <c r="E9" s="55">
        <v>20000</v>
      </c>
      <c r="F9" s="55"/>
      <c r="G9" s="55">
        <v>70</v>
      </c>
      <c r="H9" s="55">
        <v>35</v>
      </c>
      <c r="J9" s="26">
        <f t="shared" ref="J9:J13" si="0">E9/G9</f>
        <v>285.71428571428572</v>
      </c>
      <c r="K9" s="3">
        <f t="shared" ref="K9:K14" si="1">E9/H9</f>
        <v>571.42857142857144</v>
      </c>
      <c r="Q9" s="186"/>
      <c r="R9" s="186"/>
      <c r="S9" s="186"/>
      <c r="T9" s="186"/>
      <c r="V9" s="186"/>
      <c r="W9" s="186"/>
      <c r="X9" s="186"/>
      <c r="Y9" s="186"/>
    </row>
    <row r="10" spans="3:25" x14ac:dyDescent="0.25">
      <c r="C10" s="9">
        <v>3</v>
      </c>
      <c r="D10" t="s">
        <v>53</v>
      </c>
      <c r="E10" s="55">
        <v>8000</v>
      </c>
      <c r="F10" s="55"/>
      <c r="G10" s="55">
        <v>50</v>
      </c>
      <c r="H10" s="55">
        <v>20</v>
      </c>
      <c r="J10" s="26">
        <f t="shared" si="0"/>
        <v>160</v>
      </c>
      <c r="K10" s="3">
        <f t="shared" si="1"/>
        <v>400</v>
      </c>
      <c r="Q10" s="186"/>
      <c r="R10" s="186"/>
      <c r="S10" s="186"/>
      <c r="T10" s="186"/>
      <c r="V10" s="186"/>
      <c r="W10" s="186"/>
      <c r="X10" s="186"/>
      <c r="Y10" s="186"/>
    </row>
    <row r="11" spans="3:25" x14ac:dyDescent="0.25">
      <c r="C11" s="9">
        <v>4</v>
      </c>
      <c r="D11" t="s">
        <v>55</v>
      </c>
      <c r="E11" s="55">
        <v>10000</v>
      </c>
      <c r="F11" s="55"/>
      <c r="G11" s="55">
        <v>90</v>
      </c>
      <c r="H11" s="55">
        <v>45</v>
      </c>
      <c r="J11" s="26">
        <f t="shared" si="0"/>
        <v>111.11111111111111</v>
      </c>
      <c r="K11" s="3">
        <f t="shared" si="1"/>
        <v>222.22222222222223</v>
      </c>
      <c r="Q11" s="186"/>
      <c r="R11" s="186"/>
      <c r="S11" s="186"/>
      <c r="T11" s="186"/>
      <c r="V11" s="186"/>
      <c r="W11" s="186"/>
      <c r="X11" s="186"/>
      <c r="Y11" s="186"/>
    </row>
    <row r="12" spans="3:25" x14ac:dyDescent="0.25">
      <c r="C12" s="9">
        <v>5</v>
      </c>
      <c r="D12" t="s">
        <v>54</v>
      </c>
      <c r="E12" s="55">
        <v>50000</v>
      </c>
      <c r="F12" s="55"/>
      <c r="G12" s="55">
        <v>245</v>
      </c>
      <c r="H12" s="55">
        <v>147</v>
      </c>
      <c r="J12" s="26">
        <f t="shared" si="0"/>
        <v>204.08163265306123</v>
      </c>
      <c r="K12" s="3">
        <f t="shared" si="1"/>
        <v>340.13605442176873</v>
      </c>
      <c r="M12" s="73"/>
      <c r="Q12" s="186"/>
      <c r="R12" s="186"/>
      <c r="S12" s="186"/>
      <c r="T12" s="186"/>
      <c r="V12" s="186"/>
      <c r="W12" s="186"/>
      <c r="X12" s="186"/>
      <c r="Y12" s="186"/>
    </row>
    <row r="13" spans="3:25" x14ac:dyDescent="0.25">
      <c r="C13" s="9">
        <v>6</v>
      </c>
      <c r="D13" t="s">
        <v>61</v>
      </c>
      <c r="E13" s="55">
        <v>50000</v>
      </c>
      <c r="F13" s="55"/>
      <c r="G13" s="55">
        <v>750</v>
      </c>
      <c r="H13" s="55">
        <v>100</v>
      </c>
      <c r="J13" s="26">
        <f t="shared" si="0"/>
        <v>66.666666666666671</v>
      </c>
      <c r="K13" s="3">
        <f t="shared" si="1"/>
        <v>500</v>
      </c>
      <c r="Q13" s="186"/>
      <c r="R13" s="186"/>
      <c r="S13" s="186"/>
      <c r="T13" s="186"/>
      <c r="V13" s="186"/>
      <c r="W13" s="186"/>
      <c r="X13" s="186"/>
      <c r="Y13" s="186"/>
    </row>
    <row r="14" spans="3:25" x14ac:dyDescent="0.25">
      <c r="C14" s="9">
        <v>7</v>
      </c>
      <c r="D14" s="1" t="s">
        <v>60</v>
      </c>
      <c r="E14" s="56">
        <v>15000</v>
      </c>
      <c r="F14" s="56"/>
      <c r="G14" s="56">
        <v>0</v>
      </c>
      <c r="H14" s="56">
        <v>1</v>
      </c>
      <c r="I14" s="25"/>
      <c r="J14" s="27" t="s">
        <v>58</v>
      </c>
      <c r="K14" s="4">
        <f t="shared" si="1"/>
        <v>15000</v>
      </c>
      <c r="L14" s="1"/>
      <c r="M14" s="1"/>
      <c r="Q14" s="186"/>
      <c r="R14" s="186"/>
      <c r="S14" s="186"/>
      <c r="T14" s="186"/>
      <c r="V14" s="186"/>
      <c r="W14" s="186"/>
      <c r="X14" s="186"/>
      <c r="Y14" s="186"/>
    </row>
    <row r="15" spans="3:25" x14ac:dyDescent="0.25">
      <c r="C15" s="9">
        <v>8</v>
      </c>
      <c r="D15" s="6" t="s">
        <v>57</v>
      </c>
      <c r="E15" s="28">
        <f>SUM(E8:E14)</f>
        <v>163000</v>
      </c>
      <c r="F15" s="28"/>
      <c r="G15" s="28">
        <f>SUM(G8:G14)</f>
        <v>1285</v>
      </c>
      <c r="H15" s="92">
        <f>SUM(H8:H14)</f>
        <v>404</v>
      </c>
      <c r="I15" s="24"/>
      <c r="J15" s="28">
        <f>E15/G15</f>
        <v>126.84824902723736</v>
      </c>
      <c r="K15" s="7">
        <f>E15/H15</f>
        <v>403.46534653465346</v>
      </c>
      <c r="Q15" s="186"/>
      <c r="R15" s="186"/>
      <c r="S15" s="186"/>
      <c r="T15" s="186"/>
      <c r="V15" s="186"/>
      <c r="W15" s="186"/>
      <c r="X15" s="186"/>
      <c r="Y15" s="186"/>
    </row>
    <row r="17" spans="8:17" x14ac:dyDescent="0.25">
      <c r="H17" s="57"/>
      <c r="Q17" s="51"/>
    </row>
    <row r="18" spans="8:17" x14ac:dyDescent="0.25">
      <c r="H18" s="57"/>
      <c r="Q18" s="51"/>
    </row>
    <row r="26" spans="8:17" x14ac:dyDescent="0.25">
      <c r="H26" s="92"/>
    </row>
  </sheetData>
  <mergeCells count="2">
    <mergeCell ref="Q6:T15"/>
    <mergeCell ref="V6:Y15"/>
  </mergeCells>
  <pageMargins left="0.7" right="0.7" top="0.75" bottom="0.75" header="0.3" footer="0.3"/>
  <pageSetup scale="4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AA182-40FA-4E61-AD87-6B67A2675358}">
  <sheetPr>
    <pageSetUpPr fitToPage="1"/>
  </sheetPr>
  <dimension ref="C4:AG17"/>
  <sheetViews>
    <sheetView showGridLines="0" view="pageBreakPreview" zoomScaleNormal="100" zoomScaleSheetLayoutView="100" workbookViewId="0">
      <selection activeCell="N30" sqref="A27:N30"/>
    </sheetView>
  </sheetViews>
  <sheetFormatPr defaultRowHeight="15" outlineLevelRow="1" x14ac:dyDescent="0.25"/>
  <cols>
    <col min="2" max="2" width="1.5703125" customWidth="1"/>
    <col min="3" max="3" width="5.5703125" customWidth="1"/>
    <col min="4" max="4" width="11.85546875" customWidth="1"/>
    <col min="5" max="5" width="2.85546875" customWidth="1"/>
    <col min="6" max="7" width="10.5703125" bestFit="1" customWidth="1"/>
    <col min="8" max="9" width="9.140625" bestFit="1" customWidth="1"/>
    <col min="10" max="10" width="10.140625" bestFit="1" customWidth="1"/>
    <col min="11" max="11" width="3.5703125" customWidth="1"/>
    <col min="12" max="12" width="9.140625" customWidth="1"/>
    <col min="13" max="13" width="3.5703125" customWidth="1"/>
    <col min="17" max="19" width="2.140625" customWidth="1"/>
    <col min="20" max="23" width="11.140625" customWidth="1"/>
    <col min="24" max="24" width="2.85546875" customWidth="1"/>
    <col min="25" max="28" width="10" customWidth="1"/>
    <col min="29" max="29" width="3" customWidth="1"/>
    <col min="30" max="33" width="15.7109375" customWidth="1"/>
    <col min="34" max="34" width="2.140625" customWidth="1"/>
  </cols>
  <sheetData>
    <row r="4" spans="3:33" ht="18.75" x14ac:dyDescent="0.3">
      <c r="C4" s="91" t="s">
        <v>96</v>
      </c>
      <c r="E4" s="6"/>
    </row>
    <row r="5" spans="3:33" x14ac:dyDescent="0.25">
      <c r="D5" s="6"/>
      <c r="E5" s="6"/>
    </row>
    <row r="6" spans="3:33" x14ac:dyDescent="0.25">
      <c r="D6" s="41"/>
      <c r="E6" s="41"/>
      <c r="F6" s="196" t="s">
        <v>103</v>
      </c>
      <c r="G6" s="196"/>
      <c r="H6" s="196"/>
      <c r="I6" s="196"/>
      <c r="J6" s="196"/>
      <c r="K6" s="41"/>
      <c r="L6" s="41" t="s">
        <v>190</v>
      </c>
      <c r="M6" s="41"/>
      <c r="N6" s="196" t="s">
        <v>29</v>
      </c>
      <c r="O6" s="196"/>
      <c r="P6" s="196"/>
      <c r="T6" s="182" t="s">
        <v>261</v>
      </c>
      <c r="U6" s="183"/>
      <c r="V6" s="183"/>
      <c r="W6" s="183"/>
      <c r="Y6" s="182" t="s">
        <v>157</v>
      </c>
      <c r="Z6" s="183"/>
      <c r="AA6" s="183"/>
      <c r="AB6" s="183"/>
      <c r="AD6" s="187" t="s">
        <v>271</v>
      </c>
      <c r="AE6" s="188"/>
      <c r="AF6" s="188"/>
      <c r="AG6" s="189"/>
    </row>
    <row r="7" spans="3:33" s="33" customFormat="1" ht="44.45" customHeight="1" x14ac:dyDescent="0.25">
      <c r="D7" s="59" t="s">
        <v>97</v>
      </c>
      <c r="E7" s="59"/>
      <c r="F7" s="59" t="s">
        <v>98</v>
      </c>
      <c r="G7" s="59" t="s">
        <v>99</v>
      </c>
      <c r="H7" s="59" t="s">
        <v>100</v>
      </c>
      <c r="I7" s="59" t="s">
        <v>101</v>
      </c>
      <c r="J7" s="59" t="s">
        <v>102</v>
      </c>
      <c r="K7" s="59"/>
      <c r="L7" s="59" t="s">
        <v>98</v>
      </c>
      <c r="M7" s="59"/>
      <c r="N7" s="59" t="s">
        <v>98</v>
      </c>
      <c r="O7" s="59" t="s">
        <v>99</v>
      </c>
      <c r="P7" s="59" t="s">
        <v>100</v>
      </c>
      <c r="T7" s="183"/>
      <c r="U7" s="183"/>
      <c r="V7" s="183"/>
      <c r="W7" s="183"/>
      <c r="Y7" s="183"/>
      <c r="Z7" s="183"/>
      <c r="AA7" s="183"/>
      <c r="AB7" s="183"/>
      <c r="AD7" s="190"/>
      <c r="AE7" s="191"/>
      <c r="AF7" s="191"/>
      <c r="AG7" s="192"/>
    </row>
    <row r="8" spans="3:33" s="33" customFormat="1" ht="17.25" customHeight="1" x14ac:dyDescent="0.25">
      <c r="C8" s="178" t="s">
        <v>264</v>
      </c>
      <c r="D8" s="178"/>
      <c r="T8" s="183"/>
      <c r="U8" s="183"/>
      <c r="V8" s="183"/>
      <c r="W8" s="183"/>
      <c r="Y8" s="183"/>
      <c r="Z8" s="183"/>
      <c r="AA8" s="183"/>
      <c r="AB8" s="183"/>
      <c r="AD8" s="190"/>
      <c r="AE8" s="191"/>
      <c r="AF8" s="191"/>
      <c r="AG8" s="192"/>
    </row>
    <row r="9" spans="3:33" x14ac:dyDescent="0.25">
      <c r="C9" s="9">
        <v>1</v>
      </c>
      <c r="D9" s="85">
        <v>44197</v>
      </c>
      <c r="E9" s="31"/>
      <c r="F9" s="46">
        <v>4500</v>
      </c>
      <c r="G9" s="46">
        <v>5500</v>
      </c>
      <c r="H9" s="46">
        <v>3000</v>
      </c>
      <c r="I9" s="46">
        <v>3000</v>
      </c>
      <c r="J9" s="3">
        <f>SUM(F9:I9)</f>
        <v>16000</v>
      </c>
      <c r="K9" s="3"/>
      <c r="L9" s="46">
        <v>1700</v>
      </c>
      <c r="M9" s="3"/>
      <c r="N9" s="84">
        <f t="shared" ref="N9:N14" si="0">F9/L9</f>
        <v>2.6470588235294117</v>
      </c>
      <c r="O9" s="84">
        <f t="shared" ref="O9:O14" si="1">G9/L10</f>
        <v>2.75</v>
      </c>
      <c r="P9" s="84">
        <f t="shared" ref="P9:P14" si="2">H9/L11</f>
        <v>1.3333333333333333</v>
      </c>
      <c r="T9" s="183"/>
      <c r="U9" s="183"/>
      <c r="V9" s="183"/>
      <c r="W9" s="183"/>
      <c r="Y9" s="183"/>
      <c r="Z9" s="183"/>
      <c r="AA9" s="183"/>
      <c r="AB9" s="183"/>
      <c r="AD9" s="190"/>
      <c r="AE9" s="191"/>
      <c r="AF9" s="191"/>
      <c r="AG9" s="192"/>
    </row>
    <row r="10" spans="3:33" x14ac:dyDescent="0.25">
      <c r="C10" s="9">
        <v>2</v>
      </c>
      <c r="D10" s="85">
        <v>44287</v>
      </c>
      <c r="E10" s="31"/>
      <c r="F10" s="46">
        <v>5900</v>
      </c>
      <c r="G10" s="46">
        <v>6500</v>
      </c>
      <c r="H10" s="46">
        <v>3500</v>
      </c>
      <c r="I10" s="46">
        <v>2000</v>
      </c>
      <c r="J10" s="3">
        <f t="shared" ref="J10:J14" si="3">SUM(F10:I10)</f>
        <v>17900</v>
      </c>
      <c r="K10" s="3"/>
      <c r="L10" s="46">
        <v>2000</v>
      </c>
      <c r="M10" s="3"/>
      <c r="N10" s="84">
        <f t="shared" si="0"/>
        <v>2.95</v>
      </c>
      <c r="O10" s="84">
        <f t="shared" si="1"/>
        <v>2.8888888888888888</v>
      </c>
      <c r="P10" s="84">
        <f t="shared" si="2"/>
        <v>0.93333333333333335</v>
      </c>
      <c r="T10" s="183"/>
      <c r="U10" s="183"/>
      <c r="V10" s="183"/>
      <c r="W10" s="183"/>
      <c r="Y10" s="183"/>
      <c r="Z10" s="183"/>
      <c r="AA10" s="183"/>
      <c r="AB10" s="183"/>
      <c r="AD10" s="190"/>
      <c r="AE10" s="191"/>
      <c r="AF10" s="191"/>
      <c r="AG10" s="192"/>
    </row>
    <row r="11" spans="3:33" x14ac:dyDescent="0.25">
      <c r="C11" s="9">
        <v>3</v>
      </c>
      <c r="D11" s="85">
        <v>44378</v>
      </c>
      <c r="E11" s="31"/>
      <c r="F11" s="46">
        <v>7500</v>
      </c>
      <c r="G11" s="46">
        <v>6000</v>
      </c>
      <c r="H11" s="46">
        <v>4000</v>
      </c>
      <c r="I11" s="46">
        <v>8000</v>
      </c>
      <c r="J11" s="3">
        <f t="shared" si="3"/>
        <v>25500</v>
      </c>
      <c r="K11" s="3"/>
      <c r="L11" s="46">
        <v>2250</v>
      </c>
      <c r="M11" s="3"/>
      <c r="N11" s="84">
        <f t="shared" si="0"/>
        <v>3.3333333333333335</v>
      </c>
      <c r="O11" s="84">
        <f t="shared" si="1"/>
        <v>1.6</v>
      </c>
      <c r="P11" s="84">
        <f t="shared" si="2"/>
        <v>1.7777777777777777</v>
      </c>
      <c r="T11" s="183"/>
      <c r="U11" s="183"/>
      <c r="V11" s="183"/>
      <c r="W11" s="183"/>
      <c r="Y11" s="183"/>
      <c r="Z11" s="183"/>
      <c r="AA11" s="183"/>
      <c r="AB11" s="183"/>
      <c r="AD11" s="190"/>
      <c r="AE11" s="191"/>
      <c r="AF11" s="191"/>
      <c r="AG11" s="192"/>
    </row>
    <row r="12" spans="3:33" x14ac:dyDescent="0.25">
      <c r="C12" s="9">
        <v>4</v>
      </c>
      <c r="D12" s="85">
        <v>44470</v>
      </c>
      <c r="E12" s="31"/>
      <c r="F12" s="46">
        <v>9000</v>
      </c>
      <c r="G12" s="46">
        <v>5000</v>
      </c>
      <c r="H12" s="46">
        <v>6000</v>
      </c>
      <c r="I12" s="46">
        <v>5000</v>
      </c>
      <c r="J12" s="3">
        <f t="shared" si="3"/>
        <v>25000</v>
      </c>
      <c r="K12" s="3"/>
      <c r="L12" s="46">
        <v>3750</v>
      </c>
      <c r="M12" s="3"/>
      <c r="N12" s="84">
        <f t="shared" si="0"/>
        <v>2.4</v>
      </c>
      <c r="O12" s="84">
        <f t="shared" si="1"/>
        <v>2.2222222222222223</v>
      </c>
      <c r="P12" s="84">
        <f t="shared" si="2"/>
        <v>1.7142857142857142</v>
      </c>
      <c r="T12" s="183"/>
      <c r="U12" s="183"/>
      <c r="V12" s="183"/>
      <c r="W12" s="183"/>
      <c r="Y12" s="183"/>
      <c r="Z12" s="183"/>
      <c r="AA12" s="183"/>
      <c r="AB12" s="183"/>
      <c r="AD12" s="190"/>
      <c r="AE12" s="191"/>
      <c r="AF12" s="191"/>
      <c r="AG12" s="192"/>
    </row>
    <row r="13" spans="3:33" x14ac:dyDescent="0.25">
      <c r="C13" s="9">
        <v>5</v>
      </c>
      <c r="D13" s="85">
        <v>44562</v>
      </c>
      <c r="E13" s="31"/>
      <c r="F13" s="46">
        <v>7000</v>
      </c>
      <c r="G13" s="46">
        <v>9000</v>
      </c>
      <c r="H13" s="46">
        <v>7000</v>
      </c>
      <c r="I13" s="46">
        <v>6000</v>
      </c>
      <c r="J13" s="3">
        <f t="shared" si="3"/>
        <v>29000</v>
      </c>
      <c r="K13" s="3"/>
      <c r="L13" s="46">
        <v>2250</v>
      </c>
      <c r="M13" s="3"/>
      <c r="N13" s="84">
        <f t="shared" si="0"/>
        <v>3.1111111111111112</v>
      </c>
      <c r="O13" s="84">
        <f t="shared" si="1"/>
        <v>2.5714285714285716</v>
      </c>
      <c r="P13" s="84">
        <f t="shared" si="2"/>
        <v>1.75</v>
      </c>
      <c r="T13" s="183"/>
      <c r="U13" s="183"/>
      <c r="V13" s="183"/>
      <c r="W13" s="183"/>
      <c r="Y13" s="183"/>
      <c r="Z13" s="183"/>
      <c r="AA13" s="183"/>
      <c r="AB13" s="183"/>
      <c r="AD13" s="190"/>
      <c r="AE13" s="191"/>
      <c r="AF13" s="191"/>
      <c r="AG13" s="192"/>
    </row>
    <row r="14" spans="3:33" x14ac:dyDescent="0.25">
      <c r="C14" s="9">
        <v>6</v>
      </c>
      <c r="D14" s="85">
        <v>44652</v>
      </c>
      <c r="E14" s="31"/>
      <c r="F14" s="46">
        <v>10000</v>
      </c>
      <c r="G14" s="46">
        <v>9000</v>
      </c>
      <c r="H14" s="46">
        <v>6000</v>
      </c>
      <c r="I14" s="46">
        <v>8000</v>
      </c>
      <c r="J14" s="3">
        <f t="shared" si="3"/>
        <v>33000</v>
      </c>
      <c r="K14" s="3"/>
      <c r="L14" s="46">
        <v>3500</v>
      </c>
      <c r="M14" s="3"/>
      <c r="N14" s="84">
        <f t="shared" si="0"/>
        <v>2.8571428571428572</v>
      </c>
      <c r="O14" s="84">
        <f t="shared" si="1"/>
        <v>2.25</v>
      </c>
      <c r="P14" s="84">
        <f t="shared" si="2"/>
        <v>1.0909090909090908</v>
      </c>
      <c r="T14" s="183"/>
      <c r="U14" s="183"/>
      <c r="V14" s="183"/>
      <c r="W14" s="183"/>
      <c r="Y14" s="183"/>
      <c r="Z14" s="183"/>
      <c r="AA14" s="183"/>
      <c r="AB14" s="183"/>
      <c r="AD14" s="190"/>
      <c r="AE14" s="191"/>
      <c r="AF14" s="191"/>
      <c r="AG14" s="192"/>
    </row>
    <row r="15" spans="3:33" hidden="1" outlineLevel="1" x14ac:dyDescent="0.25">
      <c r="C15" s="9"/>
      <c r="D15" s="85"/>
      <c r="F15" s="47"/>
      <c r="G15" s="47"/>
      <c r="L15" s="46">
        <v>4000</v>
      </c>
      <c r="N15" s="84"/>
      <c r="O15" s="84"/>
      <c r="T15" s="183"/>
      <c r="U15" s="183"/>
      <c r="V15" s="183"/>
      <c r="W15" s="183"/>
      <c r="Y15" s="183"/>
      <c r="Z15" s="183"/>
      <c r="AA15" s="183"/>
      <c r="AB15" s="183"/>
      <c r="AD15" s="190"/>
      <c r="AE15" s="191"/>
      <c r="AF15" s="191"/>
      <c r="AG15" s="192"/>
    </row>
    <row r="16" spans="3:33" hidden="1" outlineLevel="1" x14ac:dyDescent="0.25">
      <c r="C16" s="9"/>
      <c r="D16" s="85"/>
      <c r="F16" s="47"/>
      <c r="L16" s="46">
        <v>5500</v>
      </c>
      <c r="N16" s="84"/>
      <c r="T16" s="183"/>
      <c r="U16" s="183"/>
      <c r="V16" s="183"/>
      <c r="W16" s="183"/>
      <c r="Y16" s="183"/>
      <c r="Z16" s="183"/>
      <c r="AA16" s="183"/>
      <c r="AB16" s="183"/>
      <c r="AD16" s="193"/>
      <c r="AE16" s="194"/>
      <c r="AF16" s="194"/>
      <c r="AG16" s="195"/>
    </row>
    <row r="17" ht="8.25" customHeight="1" collapsed="1" x14ac:dyDescent="0.25"/>
  </sheetData>
  <mergeCells count="5">
    <mergeCell ref="AD6:AG16"/>
    <mergeCell ref="F6:J6"/>
    <mergeCell ref="N6:P6"/>
    <mergeCell ref="T6:W16"/>
    <mergeCell ref="Y6:AB16"/>
  </mergeCells>
  <pageMargins left="0.7" right="0.7" top="0.75" bottom="0.75" header="0.3" footer="0.3"/>
  <pageSetup scale="5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A07D4-F679-4CCE-AE3F-A9D3BB9036AE}">
  <sheetPr>
    <pageSetUpPr fitToPage="1"/>
  </sheetPr>
  <dimension ref="C3:AB28"/>
  <sheetViews>
    <sheetView showGridLines="0" zoomScale="85" zoomScaleNormal="85" zoomScaleSheetLayoutView="120" workbookViewId="0">
      <selection activeCell="X10" sqref="X10:AA27"/>
    </sheetView>
  </sheetViews>
  <sheetFormatPr defaultRowHeight="15" x14ac:dyDescent="0.25"/>
  <cols>
    <col min="2" max="2" width="3" customWidth="1"/>
    <col min="3" max="3" width="4.85546875" customWidth="1"/>
    <col min="4" max="4" width="19.5703125" customWidth="1"/>
    <col min="5" max="5" width="11.28515625" customWidth="1"/>
    <col min="16" max="18" width="2.85546875" customWidth="1"/>
    <col min="23" max="23" width="2.140625" customWidth="1"/>
    <col min="24" max="27" width="10.7109375" customWidth="1"/>
    <col min="28" max="28" width="2.140625" customWidth="1"/>
  </cols>
  <sheetData>
    <row r="3" spans="3:28" ht="18.75" x14ac:dyDescent="0.3">
      <c r="C3" s="91" t="s">
        <v>158</v>
      </c>
    </row>
    <row r="4" spans="3:28" ht="15.75" x14ac:dyDescent="0.25">
      <c r="C4" s="95" t="s">
        <v>176</v>
      </c>
    </row>
    <row r="5" spans="3:28" x14ac:dyDescent="0.25">
      <c r="N5" s="63"/>
      <c r="O5" s="63"/>
    </row>
    <row r="6" spans="3:28" x14ac:dyDescent="0.25">
      <c r="D6" t="s">
        <v>91</v>
      </c>
      <c r="E6" s="94">
        <v>250</v>
      </c>
      <c r="N6" s="197" t="s">
        <v>93</v>
      </c>
      <c r="O6" s="197"/>
    </row>
    <row r="7" spans="3:28" x14ac:dyDescent="0.25">
      <c r="E7" s="62"/>
      <c r="N7" s="198" t="s">
        <v>94</v>
      </c>
      <c r="O7" s="198"/>
    </row>
    <row r="8" spans="3:28" x14ac:dyDescent="0.25">
      <c r="E8" s="62"/>
      <c r="N8" s="63"/>
      <c r="O8" s="63"/>
    </row>
    <row r="9" spans="3:28" x14ac:dyDescent="0.25">
      <c r="D9" s="58" t="s">
        <v>214</v>
      </c>
      <c r="E9" s="58"/>
      <c r="F9" s="196" t="s">
        <v>90</v>
      </c>
      <c r="G9" s="196"/>
      <c r="H9" s="196"/>
      <c r="I9" s="196"/>
      <c r="J9" s="196"/>
      <c r="K9" s="196"/>
      <c r="L9" s="196"/>
      <c r="M9" s="196"/>
      <c r="N9" s="196"/>
      <c r="O9" s="196"/>
    </row>
    <row r="10" spans="3:28" ht="15" customHeight="1" x14ac:dyDescent="0.25">
      <c r="C10" s="9" t="s">
        <v>264</v>
      </c>
      <c r="D10" s="60" t="s">
        <v>75</v>
      </c>
      <c r="E10" s="60" t="s">
        <v>88</v>
      </c>
      <c r="F10" s="61">
        <v>1</v>
      </c>
      <c r="G10" s="61">
        <v>2</v>
      </c>
      <c r="H10" s="61">
        <v>3</v>
      </c>
      <c r="I10" s="61">
        <v>4</v>
      </c>
      <c r="J10" s="61">
        <v>5</v>
      </c>
      <c r="K10" s="61">
        <v>6</v>
      </c>
      <c r="L10" s="61">
        <v>7</v>
      </c>
      <c r="M10" s="61">
        <v>8</v>
      </c>
      <c r="N10" s="61">
        <v>9</v>
      </c>
      <c r="O10" s="61">
        <v>10</v>
      </c>
      <c r="S10" s="182" t="s">
        <v>263</v>
      </c>
      <c r="T10" s="182"/>
      <c r="U10" s="182"/>
      <c r="V10" s="182"/>
      <c r="X10" s="213" t="s">
        <v>284</v>
      </c>
      <c r="Y10" s="213"/>
      <c r="Z10" s="213"/>
      <c r="AA10" s="213"/>
    </row>
    <row r="11" spans="3:28" ht="7.5" customHeight="1" x14ac:dyDescent="0.25">
      <c r="D11" s="6"/>
      <c r="E11" s="6"/>
      <c r="F11" s="32"/>
      <c r="G11" s="32"/>
      <c r="H11" s="32"/>
      <c r="I11" s="32"/>
      <c r="J11" s="32"/>
      <c r="K11" s="32"/>
      <c r="L11" s="32"/>
      <c r="M11" s="32"/>
      <c r="N11" s="32"/>
      <c r="O11" s="32"/>
      <c r="S11" s="182"/>
      <c r="T11" s="182"/>
      <c r="U11" s="182"/>
      <c r="V11" s="182"/>
      <c r="X11" s="213"/>
      <c r="Y11" s="213"/>
      <c r="Z11" s="213"/>
      <c r="AA11" s="213"/>
    </row>
    <row r="12" spans="3:28" x14ac:dyDescent="0.25">
      <c r="C12" s="9">
        <v>1</v>
      </c>
      <c r="D12" t="s">
        <v>76</v>
      </c>
      <c r="E12" s="101">
        <v>43835</v>
      </c>
      <c r="F12" s="46">
        <v>0</v>
      </c>
      <c r="G12" s="46">
        <v>50</v>
      </c>
      <c r="H12" s="46">
        <v>125</v>
      </c>
      <c r="I12" s="46">
        <v>350</v>
      </c>
      <c r="J12" s="46">
        <v>250</v>
      </c>
      <c r="K12" s="46">
        <v>400</v>
      </c>
      <c r="L12" s="46">
        <v>300</v>
      </c>
      <c r="M12" s="46">
        <v>250</v>
      </c>
      <c r="N12" s="46">
        <v>350</v>
      </c>
      <c r="O12" s="46">
        <v>225</v>
      </c>
      <c r="S12" s="182"/>
      <c r="T12" s="182"/>
      <c r="U12" s="182"/>
      <c r="V12" s="182"/>
      <c r="W12" s="33"/>
      <c r="X12" s="213"/>
      <c r="Y12" s="213"/>
      <c r="Z12" s="213"/>
      <c r="AA12" s="213"/>
      <c r="AB12" s="33"/>
    </row>
    <row r="13" spans="3:28" x14ac:dyDescent="0.25">
      <c r="C13" s="9">
        <v>2</v>
      </c>
      <c r="D13" t="s">
        <v>77</v>
      </c>
      <c r="E13" s="101">
        <v>43924</v>
      </c>
      <c r="F13" s="46">
        <v>75</v>
      </c>
      <c r="G13" s="46">
        <v>25</v>
      </c>
      <c r="H13" s="46">
        <v>0</v>
      </c>
      <c r="I13" s="46">
        <v>100</v>
      </c>
      <c r="J13" s="97"/>
      <c r="K13" s="97"/>
      <c r="L13" s="97"/>
      <c r="M13" s="97"/>
      <c r="N13" s="97"/>
      <c r="O13" s="97"/>
      <c r="S13" s="182"/>
      <c r="T13" s="182"/>
      <c r="U13" s="182"/>
      <c r="V13" s="182"/>
      <c r="W13" s="33"/>
      <c r="X13" s="213"/>
      <c r="Y13" s="213"/>
      <c r="Z13" s="213"/>
      <c r="AA13" s="213"/>
      <c r="AB13" s="33"/>
    </row>
    <row r="14" spans="3:28" x14ac:dyDescent="0.25">
      <c r="C14" s="9">
        <v>3</v>
      </c>
      <c r="D14" t="s">
        <v>78</v>
      </c>
      <c r="E14" s="101">
        <v>43989</v>
      </c>
      <c r="F14" s="46">
        <v>50</v>
      </c>
      <c r="G14" s="46">
        <v>150</v>
      </c>
      <c r="H14" s="46">
        <v>500</v>
      </c>
      <c r="I14" s="46">
        <v>300</v>
      </c>
      <c r="J14" s="46">
        <v>300</v>
      </c>
      <c r="K14" s="46">
        <v>300</v>
      </c>
      <c r="L14" s="46">
        <v>250</v>
      </c>
      <c r="M14" s="46">
        <v>275</v>
      </c>
      <c r="N14" s="98"/>
      <c r="O14" s="98"/>
      <c r="S14" s="182"/>
      <c r="T14" s="182"/>
      <c r="U14" s="182"/>
      <c r="V14" s="182"/>
      <c r="X14" s="213"/>
      <c r="Y14" s="213"/>
      <c r="Z14" s="213"/>
      <c r="AA14" s="213"/>
    </row>
    <row r="15" spans="3:28" x14ac:dyDescent="0.25">
      <c r="C15" s="9">
        <v>4</v>
      </c>
      <c r="D15" t="s">
        <v>79</v>
      </c>
      <c r="E15" s="101">
        <v>43991</v>
      </c>
      <c r="F15" s="46">
        <v>0</v>
      </c>
      <c r="G15" s="46">
        <v>0</v>
      </c>
      <c r="H15" s="97"/>
      <c r="I15" s="97"/>
      <c r="J15" s="97"/>
      <c r="K15" s="97"/>
      <c r="L15" s="97"/>
      <c r="M15" s="97"/>
      <c r="N15" s="97"/>
      <c r="O15" s="97"/>
      <c r="S15" s="182"/>
      <c r="T15" s="182"/>
      <c r="U15" s="182"/>
      <c r="V15" s="182"/>
      <c r="X15" s="213"/>
      <c r="Y15" s="213"/>
      <c r="Z15" s="213"/>
      <c r="AA15" s="213"/>
    </row>
    <row r="16" spans="3:28" x14ac:dyDescent="0.25">
      <c r="C16" s="9">
        <v>5</v>
      </c>
      <c r="D16" t="s">
        <v>80</v>
      </c>
      <c r="E16" s="101">
        <v>44080</v>
      </c>
      <c r="F16" s="46">
        <v>25</v>
      </c>
      <c r="G16" s="46">
        <v>100</v>
      </c>
      <c r="H16" s="46">
        <v>275</v>
      </c>
      <c r="I16" s="46">
        <v>175</v>
      </c>
      <c r="J16" s="46">
        <v>200</v>
      </c>
      <c r="K16" s="46">
        <v>100</v>
      </c>
      <c r="L16" s="46">
        <v>150</v>
      </c>
      <c r="M16" s="98"/>
      <c r="N16" s="98"/>
      <c r="O16" s="98"/>
      <c r="S16" s="182"/>
      <c r="T16" s="182"/>
      <c r="U16" s="182"/>
      <c r="V16" s="182"/>
      <c r="X16" s="213"/>
      <c r="Y16" s="213"/>
      <c r="Z16" s="213"/>
      <c r="AA16" s="213"/>
    </row>
    <row r="17" spans="3:27" x14ac:dyDescent="0.25">
      <c r="C17" s="9">
        <v>6</v>
      </c>
      <c r="D17" t="s">
        <v>81</v>
      </c>
      <c r="E17" s="101">
        <v>44115</v>
      </c>
      <c r="F17" s="46">
        <v>25</v>
      </c>
      <c r="G17" s="46">
        <v>50</v>
      </c>
      <c r="H17" s="46">
        <v>75</v>
      </c>
      <c r="I17" s="46">
        <v>100</v>
      </c>
      <c r="J17" s="46">
        <v>150</v>
      </c>
      <c r="K17" s="97"/>
      <c r="L17" s="97"/>
      <c r="M17" s="98"/>
      <c r="N17" s="98"/>
      <c r="O17" s="98"/>
      <c r="S17" s="182"/>
      <c r="T17" s="182"/>
      <c r="U17" s="182"/>
      <c r="V17" s="182"/>
      <c r="X17" s="213"/>
      <c r="Y17" s="213"/>
      <c r="Z17" s="213"/>
      <c r="AA17" s="213"/>
    </row>
    <row r="18" spans="3:27" x14ac:dyDescent="0.25">
      <c r="C18" s="9">
        <v>7</v>
      </c>
      <c r="D18" t="s">
        <v>82</v>
      </c>
      <c r="E18" s="101">
        <v>44145</v>
      </c>
      <c r="F18" s="46">
        <v>50</v>
      </c>
      <c r="G18" s="46">
        <v>75</v>
      </c>
      <c r="H18" s="46">
        <v>200</v>
      </c>
      <c r="I18" s="46">
        <v>350</v>
      </c>
      <c r="J18" s="46">
        <v>300</v>
      </c>
      <c r="K18" s="46">
        <v>250</v>
      </c>
      <c r="L18" s="98"/>
      <c r="M18" s="98"/>
      <c r="N18" s="98"/>
      <c r="O18" s="98"/>
      <c r="S18" s="182"/>
      <c r="T18" s="182"/>
      <c r="U18" s="182"/>
      <c r="V18" s="182"/>
      <c r="X18" s="213"/>
      <c r="Y18" s="213"/>
      <c r="Z18" s="213"/>
      <c r="AA18" s="213"/>
    </row>
    <row r="19" spans="3:27" x14ac:dyDescent="0.25">
      <c r="C19" s="9">
        <v>8</v>
      </c>
      <c r="D19" t="s">
        <v>83</v>
      </c>
      <c r="E19" s="101">
        <v>44215</v>
      </c>
      <c r="F19" s="46">
        <v>20</v>
      </c>
      <c r="G19" s="46">
        <v>50</v>
      </c>
      <c r="H19" s="46">
        <v>125</v>
      </c>
      <c r="I19" s="46">
        <v>400</v>
      </c>
      <c r="J19" s="46">
        <v>350</v>
      </c>
      <c r="K19" s="98"/>
      <c r="L19" s="98"/>
      <c r="M19" s="98"/>
      <c r="N19" s="98"/>
      <c r="O19" s="98"/>
      <c r="S19" s="182"/>
      <c r="T19" s="182"/>
      <c r="U19" s="182"/>
      <c r="V19" s="182"/>
      <c r="X19" s="213"/>
      <c r="Y19" s="213"/>
      <c r="Z19" s="213"/>
      <c r="AA19" s="213"/>
    </row>
    <row r="20" spans="3:27" x14ac:dyDescent="0.25">
      <c r="C20" s="9">
        <v>9</v>
      </c>
      <c r="D20" t="s">
        <v>84</v>
      </c>
      <c r="E20" s="101">
        <v>44331</v>
      </c>
      <c r="F20" s="46">
        <v>0</v>
      </c>
      <c r="G20" s="46">
        <v>0</v>
      </c>
      <c r="H20" s="46">
        <v>75</v>
      </c>
      <c r="I20" s="46">
        <v>100</v>
      </c>
      <c r="J20" s="97"/>
      <c r="K20" s="97"/>
      <c r="L20" s="97"/>
      <c r="M20" s="97"/>
      <c r="N20" s="97"/>
      <c r="O20" s="97"/>
      <c r="S20" s="182"/>
      <c r="T20" s="182"/>
      <c r="U20" s="182"/>
      <c r="V20" s="182"/>
      <c r="X20" s="213"/>
      <c r="Y20" s="213"/>
      <c r="Z20" s="213"/>
      <c r="AA20" s="213"/>
    </row>
    <row r="21" spans="3:27" x14ac:dyDescent="0.25">
      <c r="C21" s="9">
        <v>10</v>
      </c>
      <c r="D21" t="s">
        <v>85</v>
      </c>
      <c r="E21" s="101">
        <v>44512</v>
      </c>
      <c r="F21" s="46">
        <v>0</v>
      </c>
      <c r="G21" s="46">
        <v>75</v>
      </c>
      <c r="H21" s="46">
        <v>200</v>
      </c>
      <c r="I21" s="98"/>
      <c r="J21" s="98"/>
      <c r="K21" s="98"/>
      <c r="L21" s="98"/>
      <c r="M21" s="98"/>
      <c r="N21" s="98"/>
      <c r="O21" s="98"/>
      <c r="S21" s="182"/>
      <c r="T21" s="182"/>
      <c r="U21" s="182"/>
      <c r="V21" s="182"/>
      <c r="X21" s="213"/>
      <c r="Y21" s="213"/>
      <c r="Z21" s="213"/>
      <c r="AA21" s="213"/>
    </row>
    <row r="22" spans="3:27" x14ac:dyDescent="0.25">
      <c r="C22" s="9">
        <v>11</v>
      </c>
      <c r="D22" t="s">
        <v>86</v>
      </c>
      <c r="E22" s="101">
        <v>44531</v>
      </c>
      <c r="F22" s="46">
        <v>20</v>
      </c>
      <c r="G22" s="46">
        <v>250</v>
      </c>
      <c r="H22" s="98"/>
      <c r="I22" s="98"/>
      <c r="J22" s="98"/>
      <c r="K22" s="98"/>
      <c r="L22" s="98"/>
      <c r="M22" s="98"/>
      <c r="N22" s="98"/>
      <c r="O22" s="98"/>
      <c r="S22" s="182"/>
      <c r="T22" s="182"/>
      <c r="U22" s="182"/>
      <c r="V22" s="182"/>
      <c r="X22" s="213"/>
      <c r="Y22" s="213"/>
      <c r="Z22" s="213"/>
      <c r="AA22" s="213"/>
    </row>
    <row r="23" spans="3:27" x14ac:dyDescent="0.25">
      <c r="C23" s="9">
        <v>12</v>
      </c>
      <c r="D23" t="s">
        <v>87</v>
      </c>
      <c r="E23" s="101">
        <v>44576</v>
      </c>
      <c r="F23" s="46">
        <v>50</v>
      </c>
      <c r="G23" s="98"/>
      <c r="H23" s="98"/>
      <c r="I23" s="98"/>
      <c r="J23" s="98"/>
      <c r="K23" s="98"/>
      <c r="L23" s="98"/>
      <c r="M23" s="98"/>
      <c r="N23" s="98"/>
      <c r="O23" s="98"/>
      <c r="S23" s="182"/>
      <c r="T23" s="182"/>
      <c r="U23" s="182"/>
      <c r="V23" s="182"/>
      <c r="X23" s="213"/>
      <c r="Y23" s="213"/>
      <c r="Z23" s="213"/>
      <c r="AA23" s="213"/>
    </row>
    <row r="24" spans="3:27" x14ac:dyDescent="0.25">
      <c r="C24" s="9">
        <v>13</v>
      </c>
      <c r="D24" s="1" t="s">
        <v>182</v>
      </c>
      <c r="E24" s="102">
        <v>44621</v>
      </c>
      <c r="F24" s="99">
        <v>0</v>
      </c>
      <c r="G24" s="100"/>
      <c r="H24" s="100"/>
      <c r="I24" s="100"/>
      <c r="J24" s="100"/>
      <c r="K24" s="100"/>
      <c r="L24" s="100"/>
      <c r="M24" s="100"/>
      <c r="N24" s="100"/>
      <c r="O24" s="100"/>
      <c r="S24" s="182"/>
      <c r="T24" s="182"/>
      <c r="U24" s="182"/>
      <c r="V24" s="182"/>
      <c r="X24" s="213"/>
      <c r="Y24" s="213"/>
      <c r="Z24" s="213"/>
      <c r="AA24" s="213"/>
    </row>
    <row r="25" spans="3:27" x14ac:dyDescent="0.25">
      <c r="C25" s="9">
        <v>14</v>
      </c>
      <c r="D25" t="s">
        <v>89</v>
      </c>
      <c r="F25" s="3">
        <f t="shared" ref="F25:O25" si="0">AVERAGE(F12:F24)</f>
        <v>24.23076923076923</v>
      </c>
      <c r="G25" s="3">
        <f t="shared" si="0"/>
        <v>75</v>
      </c>
      <c r="H25" s="3">
        <f t="shared" si="0"/>
        <v>175</v>
      </c>
      <c r="I25" s="3">
        <f t="shared" si="0"/>
        <v>234.375</v>
      </c>
      <c r="J25" s="3">
        <f t="shared" si="0"/>
        <v>258.33333333333331</v>
      </c>
      <c r="K25" s="3">
        <f t="shared" si="0"/>
        <v>262.5</v>
      </c>
      <c r="L25" s="3">
        <f t="shared" si="0"/>
        <v>233.33333333333334</v>
      </c>
      <c r="M25" s="3">
        <f t="shared" si="0"/>
        <v>262.5</v>
      </c>
      <c r="N25" s="3">
        <f t="shared" si="0"/>
        <v>350</v>
      </c>
      <c r="O25" s="3">
        <f t="shared" si="0"/>
        <v>225</v>
      </c>
      <c r="S25" s="182"/>
      <c r="T25" s="182"/>
      <c r="U25" s="182"/>
      <c r="V25" s="182"/>
      <c r="X25" s="213"/>
      <c r="Y25" s="213"/>
      <c r="Z25" s="213"/>
      <c r="AA25" s="213"/>
    </row>
    <row r="26" spans="3:27" x14ac:dyDescent="0.25">
      <c r="C26" s="9">
        <v>15</v>
      </c>
      <c r="D26" t="s">
        <v>92</v>
      </c>
      <c r="F26" s="5">
        <f>F25/$E$6</f>
        <v>9.6923076923076917E-2</v>
      </c>
      <c r="G26" s="5">
        <f t="shared" ref="G26:O26" si="1">G25/$E$6</f>
        <v>0.3</v>
      </c>
      <c r="H26" s="5">
        <f t="shared" si="1"/>
        <v>0.7</v>
      </c>
      <c r="I26" s="5">
        <f t="shared" si="1"/>
        <v>0.9375</v>
      </c>
      <c r="J26" s="5">
        <f t="shared" si="1"/>
        <v>1.0333333333333332</v>
      </c>
      <c r="K26" s="5">
        <f t="shared" si="1"/>
        <v>1.05</v>
      </c>
      <c r="L26" s="5">
        <f t="shared" si="1"/>
        <v>0.93333333333333335</v>
      </c>
      <c r="M26" s="5">
        <f t="shared" si="1"/>
        <v>1.05</v>
      </c>
      <c r="N26" s="5">
        <f t="shared" si="1"/>
        <v>1.4</v>
      </c>
      <c r="O26" s="5">
        <f t="shared" si="1"/>
        <v>0.9</v>
      </c>
      <c r="S26" s="182"/>
      <c r="T26" s="182"/>
      <c r="U26" s="182"/>
      <c r="V26" s="182"/>
      <c r="X26" s="213"/>
      <c r="Y26" s="213"/>
      <c r="Z26" s="213"/>
      <c r="AA26" s="213"/>
    </row>
    <row r="27" spans="3:27" x14ac:dyDescent="0.25">
      <c r="C27" s="9">
        <v>16</v>
      </c>
      <c r="D27" t="s">
        <v>95</v>
      </c>
      <c r="E27" s="22">
        <f>AVERAGE(I12:O24)</f>
        <v>251</v>
      </c>
      <c r="S27" s="182"/>
      <c r="T27" s="182"/>
      <c r="U27" s="182"/>
      <c r="V27" s="182"/>
      <c r="X27" s="213"/>
      <c r="Y27" s="213"/>
      <c r="Z27" s="213"/>
      <c r="AA27" s="213"/>
    </row>
    <row r="28" spans="3:27" x14ac:dyDescent="0.25">
      <c r="C28" s="9">
        <v>17</v>
      </c>
      <c r="D28" s="9" t="s">
        <v>262</v>
      </c>
      <c r="F28" s="117"/>
      <c r="G28" s="117"/>
      <c r="H28" s="117"/>
      <c r="I28" s="96">
        <f t="shared" ref="I28:O28" si="2">COUNTIF(I12:I24, "&gt;="&amp;$E$6)/COUNTA(I12:I24)</f>
        <v>0.5</v>
      </c>
      <c r="J28" s="96">
        <f t="shared" si="2"/>
        <v>0.66666666666666663</v>
      </c>
      <c r="K28" s="96">
        <f t="shared" si="2"/>
        <v>0.75</v>
      </c>
      <c r="L28" s="96">
        <f t="shared" si="2"/>
        <v>0.66666666666666663</v>
      </c>
      <c r="M28" s="96">
        <f t="shared" si="2"/>
        <v>1</v>
      </c>
      <c r="N28" s="96">
        <f t="shared" si="2"/>
        <v>1</v>
      </c>
      <c r="O28" s="96">
        <f t="shared" si="2"/>
        <v>0</v>
      </c>
    </row>
  </sheetData>
  <mergeCells count="5">
    <mergeCell ref="S10:V27"/>
    <mergeCell ref="X10:AA27"/>
    <mergeCell ref="F9:O9"/>
    <mergeCell ref="N6:O6"/>
    <mergeCell ref="N7:O7"/>
  </mergeCells>
  <phoneticPr fontId="3" type="noConversion"/>
  <pageMargins left="0.7" right="0.7" top="0.75" bottom="0.75" header="0.3" footer="0.3"/>
  <pageSetup scale="68" fitToHeight="0" orientation="portrait" r:id="rId1"/>
  <ignoredErrors>
    <ignoredError sqref="F25:G25"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38C6-839E-409B-8468-A9EC16449F37}">
  <sheetPr>
    <pageSetUpPr fitToPage="1"/>
  </sheetPr>
  <dimension ref="A2:AO38"/>
  <sheetViews>
    <sheetView showGridLines="0" zoomScale="70" zoomScaleNormal="70" zoomScaleSheetLayoutView="70" workbookViewId="0">
      <selection activeCell="D22" sqref="D22"/>
    </sheetView>
  </sheetViews>
  <sheetFormatPr defaultRowHeight="15" x14ac:dyDescent="0.25"/>
  <cols>
    <col min="2" max="2" width="7.42578125" customWidth="1"/>
    <col min="3" max="3" width="5.28515625" customWidth="1"/>
    <col min="4" max="4" width="35.28515625" customWidth="1"/>
    <col min="5" max="5" width="8.5703125" bestFit="1" customWidth="1"/>
    <col min="6" max="6" width="4.7109375" customWidth="1"/>
    <col min="7" max="7" width="12.140625" bestFit="1" customWidth="1"/>
    <col min="8" max="10" width="9.28515625" bestFit="1" customWidth="1"/>
    <col min="11" max="11" width="1.85546875" customWidth="1"/>
    <col min="12" max="12" width="9.28515625" bestFit="1" customWidth="1"/>
    <col min="13" max="15" width="9.5703125" bestFit="1" customWidth="1"/>
    <col min="16" max="16" width="2.140625" customWidth="1"/>
    <col min="17" max="17" width="9.28515625" bestFit="1" customWidth="1"/>
    <col min="18" max="20" width="9.140625" bestFit="1" customWidth="1"/>
    <col min="21" max="21" width="3.5703125" customWidth="1"/>
    <col min="23" max="23" width="3" customWidth="1"/>
    <col min="24" max="27" width="12.85546875" customWidth="1"/>
    <col min="28" max="28" width="2.140625" customWidth="1"/>
    <col min="42" max="42" width="2.140625" customWidth="1"/>
  </cols>
  <sheetData>
    <row r="2" spans="1:41" x14ac:dyDescent="0.25">
      <c r="O2" s="51"/>
      <c r="X2" s="51"/>
    </row>
    <row r="3" spans="1:41" ht="18.75" x14ac:dyDescent="0.3">
      <c r="C3" s="91" t="s">
        <v>194</v>
      </c>
    </row>
    <row r="4" spans="1:41" ht="15" customHeight="1" x14ac:dyDescent="0.25">
      <c r="G4" s="196" t="s">
        <v>208</v>
      </c>
      <c r="H4" s="196"/>
      <c r="I4" s="196"/>
      <c r="J4" s="196"/>
      <c r="L4" s="196" t="s">
        <v>279</v>
      </c>
      <c r="M4" s="196"/>
      <c r="N4" s="196"/>
      <c r="O4" s="196"/>
      <c r="Q4" s="196" t="s">
        <v>209</v>
      </c>
      <c r="R4" s="196"/>
      <c r="S4" s="196"/>
      <c r="T4" s="196"/>
      <c r="X4" s="182" t="s">
        <v>215</v>
      </c>
      <c r="Y4" s="182"/>
      <c r="Z4" s="182"/>
      <c r="AA4" s="182"/>
      <c r="AC4" s="137" t="s">
        <v>216</v>
      </c>
      <c r="AD4" s="105"/>
      <c r="AE4" s="105"/>
      <c r="AF4" s="105"/>
      <c r="AG4" s="105"/>
      <c r="AH4" s="105"/>
      <c r="AI4" s="105"/>
      <c r="AJ4" s="105"/>
      <c r="AK4" s="105"/>
      <c r="AL4" s="105"/>
      <c r="AM4" s="105"/>
      <c r="AN4" s="105"/>
      <c r="AO4" s="138"/>
    </row>
    <row r="5" spans="1:41" x14ac:dyDescent="0.25">
      <c r="G5" s="24" t="s">
        <v>210</v>
      </c>
      <c r="H5" s="24" t="s">
        <v>211</v>
      </c>
      <c r="I5" s="24" t="s">
        <v>212</v>
      </c>
      <c r="J5" s="24" t="s">
        <v>213</v>
      </c>
      <c r="K5" s="24"/>
      <c r="L5" s="24" t="s">
        <v>210</v>
      </c>
      <c r="M5" s="24" t="s">
        <v>211</v>
      </c>
      <c r="N5" s="24" t="s">
        <v>212</v>
      </c>
      <c r="O5" s="24" t="s">
        <v>213</v>
      </c>
      <c r="P5" s="24"/>
      <c r="Q5" s="24" t="s">
        <v>210</v>
      </c>
      <c r="R5" s="24" t="s">
        <v>211</v>
      </c>
      <c r="S5" s="24" t="s">
        <v>212</v>
      </c>
      <c r="T5" s="24" t="s">
        <v>213</v>
      </c>
      <c r="X5" s="182"/>
      <c r="Y5" s="182"/>
      <c r="Z5" s="182"/>
      <c r="AA5" s="182"/>
      <c r="AC5" s="139"/>
      <c r="AO5" s="140"/>
    </row>
    <row r="6" spans="1:41" s="24" customFormat="1" x14ac:dyDescent="0.25">
      <c r="C6"/>
      <c r="G6" s="52" t="s">
        <v>63</v>
      </c>
      <c r="H6" s="52" t="s">
        <v>64</v>
      </c>
      <c r="I6" s="52" t="s">
        <v>65</v>
      </c>
      <c r="J6" s="52" t="s">
        <v>66</v>
      </c>
      <c r="K6" s="52"/>
      <c r="L6" s="52" t="s">
        <v>67</v>
      </c>
      <c r="M6" s="52" t="s">
        <v>68</v>
      </c>
      <c r="N6" s="52" t="s">
        <v>69</v>
      </c>
      <c r="O6" s="52" t="s">
        <v>70</v>
      </c>
      <c r="P6" s="52"/>
      <c r="Q6" s="52" t="s">
        <v>280</v>
      </c>
      <c r="R6" s="52" t="s">
        <v>281</v>
      </c>
      <c r="S6" s="52" t="s">
        <v>282</v>
      </c>
      <c r="T6" s="52" t="s">
        <v>283</v>
      </c>
      <c r="X6" s="182"/>
      <c r="Y6" s="182"/>
      <c r="Z6" s="182"/>
      <c r="AA6" s="182"/>
      <c r="AC6" s="141"/>
      <c r="AO6" s="142"/>
    </row>
    <row r="7" spans="1:41" s="24" customFormat="1" x14ac:dyDescent="0.25">
      <c r="C7"/>
      <c r="X7" s="182"/>
      <c r="Y7" s="182"/>
      <c r="Z7" s="182"/>
      <c r="AA7" s="182"/>
      <c r="AC7" s="141"/>
      <c r="AO7" s="142"/>
    </row>
    <row r="8" spans="1:41" x14ac:dyDescent="0.25">
      <c r="D8" s="116" t="s">
        <v>193</v>
      </c>
      <c r="E8" s="117"/>
      <c r="F8" s="117"/>
      <c r="G8" s="117"/>
      <c r="H8" s="117"/>
      <c r="I8" s="117"/>
      <c r="J8" s="117"/>
      <c r="L8" s="117"/>
      <c r="M8" s="117"/>
      <c r="N8" s="117"/>
      <c r="O8" s="117"/>
      <c r="Q8" s="117"/>
      <c r="R8" s="117"/>
      <c r="S8" s="117"/>
      <c r="T8" s="117"/>
      <c r="X8" s="182"/>
      <c r="Y8" s="182"/>
      <c r="Z8" s="182"/>
      <c r="AA8" s="182"/>
      <c r="AC8" s="139"/>
      <c r="AO8" s="140"/>
    </row>
    <row r="9" spans="1:41" x14ac:dyDescent="0.25">
      <c r="C9" s="9" t="s">
        <v>264</v>
      </c>
      <c r="E9" t="s">
        <v>191</v>
      </c>
      <c r="X9" s="182"/>
      <c r="Y9" s="182"/>
      <c r="Z9" s="182"/>
      <c r="AA9" s="182"/>
      <c r="AC9" s="139"/>
      <c r="AO9" s="140"/>
    </row>
    <row r="10" spans="1:41" x14ac:dyDescent="0.25">
      <c r="A10" s="51"/>
      <c r="C10" s="9">
        <v>1</v>
      </c>
      <c r="D10" t="s">
        <v>265</v>
      </c>
      <c r="E10" s="179">
        <v>0</v>
      </c>
      <c r="G10" s="108">
        <v>1</v>
      </c>
      <c r="H10" s="108">
        <v>2</v>
      </c>
      <c r="I10" s="108">
        <v>3</v>
      </c>
      <c r="J10" s="108">
        <v>4</v>
      </c>
      <c r="K10" s="108"/>
      <c r="L10" s="108">
        <v>2</v>
      </c>
      <c r="M10" s="108">
        <v>3</v>
      </c>
      <c r="N10" s="108">
        <v>4</v>
      </c>
      <c r="O10" s="108">
        <v>5</v>
      </c>
      <c r="P10" s="108"/>
      <c r="Q10" s="108">
        <v>3</v>
      </c>
      <c r="R10" s="108">
        <v>4</v>
      </c>
      <c r="S10" s="108">
        <v>5</v>
      </c>
      <c r="T10" s="108">
        <v>6</v>
      </c>
      <c r="X10" s="182"/>
      <c r="Y10" s="182"/>
      <c r="Z10" s="182"/>
      <c r="AA10" s="182"/>
      <c r="AC10" s="139"/>
      <c r="AO10" s="140"/>
    </row>
    <row r="11" spans="1:41" x14ac:dyDescent="0.25">
      <c r="C11" s="9">
        <v>2</v>
      </c>
      <c r="D11" t="s">
        <v>266</v>
      </c>
      <c r="E11" s="179">
        <v>0.25</v>
      </c>
      <c r="G11" s="46">
        <v>2</v>
      </c>
      <c r="H11" s="3">
        <f>G10</f>
        <v>1</v>
      </c>
      <c r="I11" s="3">
        <f t="shared" ref="I11:T12" si="0">H10</f>
        <v>2</v>
      </c>
      <c r="J11" s="3">
        <f t="shared" si="0"/>
        <v>3</v>
      </c>
      <c r="K11" s="131"/>
      <c r="L11" s="3">
        <f>J10</f>
        <v>4</v>
      </c>
      <c r="M11" s="3">
        <f t="shared" si="0"/>
        <v>2</v>
      </c>
      <c r="N11" s="3">
        <f t="shared" si="0"/>
        <v>3</v>
      </c>
      <c r="O11" s="3">
        <f t="shared" si="0"/>
        <v>4</v>
      </c>
      <c r="P11" s="103"/>
      <c r="Q11" s="3">
        <f>O10</f>
        <v>5</v>
      </c>
      <c r="R11" s="3">
        <f t="shared" si="0"/>
        <v>3</v>
      </c>
      <c r="S11" s="3">
        <f t="shared" si="0"/>
        <v>4</v>
      </c>
      <c r="T11" s="3">
        <f t="shared" si="0"/>
        <v>5</v>
      </c>
      <c r="X11" s="182"/>
      <c r="Y11" s="182"/>
      <c r="Z11" s="182"/>
      <c r="AA11" s="182"/>
      <c r="AC11" s="139"/>
      <c r="AO11" s="140"/>
    </row>
    <row r="12" spans="1:41" x14ac:dyDescent="0.25">
      <c r="C12" s="9">
        <v>3</v>
      </c>
      <c r="D12" t="s">
        <v>267</v>
      </c>
      <c r="E12" s="179">
        <v>0.75</v>
      </c>
      <c r="G12" s="46">
        <v>3</v>
      </c>
      <c r="H12" s="3">
        <f>G11</f>
        <v>2</v>
      </c>
      <c r="I12" s="3">
        <f t="shared" si="0"/>
        <v>1</v>
      </c>
      <c r="J12" s="3">
        <f t="shared" si="0"/>
        <v>2</v>
      </c>
      <c r="K12" s="131"/>
      <c r="L12" s="3">
        <f>J11</f>
        <v>3</v>
      </c>
      <c r="M12" s="3">
        <f t="shared" si="0"/>
        <v>4</v>
      </c>
      <c r="N12" s="3">
        <f t="shared" si="0"/>
        <v>2</v>
      </c>
      <c r="O12" s="3">
        <f t="shared" si="0"/>
        <v>3</v>
      </c>
      <c r="P12" s="131"/>
      <c r="Q12" s="3">
        <f>O11</f>
        <v>4</v>
      </c>
      <c r="R12" s="3">
        <f t="shared" si="0"/>
        <v>5</v>
      </c>
      <c r="S12" s="3">
        <f t="shared" si="0"/>
        <v>3</v>
      </c>
      <c r="T12" s="3">
        <f t="shared" si="0"/>
        <v>4</v>
      </c>
      <c r="X12" s="182"/>
      <c r="Y12" s="182"/>
      <c r="Z12" s="182"/>
      <c r="AA12" s="182"/>
      <c r="AC12" s="139"/>
      <c r="AO12" s="140"/>
    </row>
    <row r="13" spans="1:41" x14ac:dyDescent="0.25">
      <c r="A13" s="51"/>
      <c r="C13" s="9">
        <v>4</v>
      </c>
      <c r="D13" t="s">
        <v>268</v>
      </c>
      <c r="E13" s="179">
        <v>1</v>
      </c>
      <c r="G13" s="46">
        <v>4</v>
      </c>
      <c r="H13" s="3">
        <f>G13-G15+G12</f>
        <v>7</v>
      </c>
      <c r="I13" s="3">
        <f t="shared" ref="I13:T13" si="1">H13-H15+H12</f>
        <v>9</v>
      </c>
      <c r="J13" s="3">
        <f t="shared" si="1"/>
        <v>10</v>
      </c>
      <c r="K13" s="131"/>
      <c r="L13" s="3">
        <f>J13-J15+J12</f>
        <v>12</v>
      </c>
      <c r="M13" s="3">
        <f t="shared" si="1"/>
        <v>14</v>
      </c>
      <c r="N13" s="3">
        <f t="shared" si="1"/>
        <v>17</v>
      </c>
      <c r="O13" s="3">
        <f t="shared" si="1"/>
        <v>18</v>
      </c>
      <c r="P13" s="131"/>
      <c r="Q13" s="3">
        <f>O13-O15+O12</f>
        <v>20</v>
      </c>
      <c r="R13" s="3">
        <f t="shared" si="1"/>
        <v>23</v>
      </c>
      <c r="S13" s="3">
        <f t="shared" si="1"/>
        <v>27</v>
      </c>
      <c r="T13" s="3">
        <f t="shared" si="1"/>
        <v>29</v>
      </c>
      <c r="X13" s="182"/>
      <c r="Y13" s="182"/>
      <c r="Z13" s="182"/>
      <c r="AA13" s="182"/>
      <c r="AC13" s="139"/>
      <c r="AO13" s="140"/>
    </row>
    <row r="14" spans="1:41" x14ac:dyDescent="0.25">
      <c r="A14" s="51"/>
      <c r="C14" s="9">
        <v>5</v>
      </c>
      <c r="D14" s="107" t="s">
        <v>269</v>
      </c>
      <c r="E14" s="106"/>
      <c r="F14" s="105"/>
      <c r="G14" s="109">
        <f>SUM(G10:G13)</f>
        <v>10</v>
      </c>
      <c r="H14" s="109">
        <f t="shared" ref="H14:T14" si="2">SUM(H10:H13)</f>
        <v>12</v>
      </c>
      <c r="I14" s="109">
        <f t="shared" si="2"/>
        <v>15</v>
      </c>
      <c r="J14" s="109">
        <f t="shared" si="2"/>
        <v>19</v>
      </c>
      <c r="K14" s="132"/>
      <c r="L14" s="109">
        <f t="shared" si="2"/>
        <v>21</v>
      </c>
      <c r="M14" s="109">
        <f t="shared" si="2"/>
        <v>23</v>
      </c>
      <c r="N14" s="109">
        <f t="shared" si="2"/>
        <v>26</v>
      </c>
      <c r="O14" s="109">
        <f t="shared" si="2"/>
        <v>30</v>
      </c>
      <c r="P14" s="132"/>
      <c r="Q14" s="109">
        <f t="shared" si="2"/>
        <v>32</v>
      </c>
      <c r="R14" s="109">
        <f t="shared" si="2"/>
        <v>35</v>
      </c>
      <c r="S14" s="109">
        <f t="shared" si="2"/>
        <v>39</v>
      </c>
      <c r="T14" s="109">
        <f t="shared" si="2"/>
        <v>44</v>
      </c>
      <c r="V14" s="104"/>
      <c r="W14" s="104"/>
      <c r="X14" s="182"/>
      <c r="Y14" s="182"/>
      <c r="Z14" s="182"/>
      <c r="AA14" s="182"/>
      <c r="AC14" s="139"/>
      <c r="AO14" s="140"/>
    </row>
    <row r="15" spans="1:41" x14ac:dyDescent="0.25">
      <c r="C15" s="9">
        <v>6</v>
      </c>
      <c r="D15" s="1" t="s">
        <v>72</v>
      </c>
      <c r="E15" s="179">
        <v>0.2</v>
      </c>
      <c r="F15" s="1"/>
      <c r="G15" s="4">
        <f>ROUNDDOWN(0.25*$E$15*SUM(G10:G13),0)</f>
        <v>0</v>
      </c>
      <c r="H15" s="4">
        <f>ROUNDDOWN(0.25*$E$15*SUM(H10:H13),0)</f>
        <v>0</v>
      </c>
      <c r="I15" s="4">
        <f>ROUNDDOWN(0.25*$E$15*SUM(I10:I13),0)</f>
        <v>0</v>
      </c>
      <c r="J15" s="4">
        <f>ROUNDDOWN(0.25*$E$15*SUM(J10:J13),0)</f>
        <v>0</v>
      </c>
      <c r="K15" s="131"/>
      <c r="L15" s="4">
        <f>ROUNDDOWN(0.25*$E$15*SUM(L10:L13),0)</f>
        <v>1</v>
      </c>
      <c r="M15" s="4">
        <f>ROUNDDOWN(0.25*$E$15*SUM(M10:M13),0)</f>
        <v>1</v>
      </c>
      <c r="N15" s="4">
        <f>ROUNDDOWN(0.25*$E$15*SUM(N10:N13),0)</f>
        <v>1</v>
      </c>
      <c r="O15" s="4">
        <f>ROUNDDOWN(0.25*$E$15*SUM(O10:O13),0)</f>
        <v>1</v>
      </c>
      <c r="P15" s="131"/>
      <c r="Q15" s="4">
        <f>ROUNDDOWN(0.25*$E$15*SUM(Q10:Q13),0)</f>
        <v>1</v>
      </c>
      <c r="R15" s="4">
        <f>ROUNDDOWN(0.25*$E$15*SUM(R10:R13),0)</f>
        <v>1</v>
      </c>
      <c r="S15" s="4">
        <f>ROUNDDOWN(0.25*$E$15*SUM(S10:S13),0)</f>
        <v>1</v>
      </c>
      <c r="T15" s="4">
        <f>ROUNDDOWN(0.25*$E$15*SUM(T10:T13),0)</f>
        <v>2</v>
      </c>
      <c r="X15" s="182"/>
      <c r="Y15" s="182"/>
      <c r="Z15" s="182"/>
      <c r="AA15" s="182"/>
      <c r="AC15" s="139"/>
      <c r="AO15" s="140"/>
    </row>
    <row r="16" spans="1:41" x14ac:dyDescent="0.25">
      <c r="C16" s="9">
        <v>7</v>
      </c>
      <c r="D16" s="6" t="s">
        <v>71</v>
      </c>
      <c r="E16" s="6"/>
      <c r="F16" s="6"/>
      <c r="G16" s="7">
        <f>G14-G15</f>
        <v>10</v>
      </c>
      <c r="H16" s="7">
        <f t="shared" ref="H16:T16" si="3">H14-H15</f>
        <v>12</v>
      </c>
      <c r="I16" s="7">
        <f t="shared" si="3"/>
        <v>15</v>
      </c>
      <c r="J16" s="7">
        <f t="shared" si="3"/>
        <v>19</v>
      </c>
      <c r="K16" s="132"/>
      <c r="L16" s="7">
        <f t="shared" si="3"/>
        <v>20</v>
      </c>
      <c r="M16" s="7">
        <f t="shared" si="3"/>
        <v>22</v>
      </c>
      <c r="N16" s="7">
        <f t="shared" si="3"/>
        <v>25</v>
      </c>
      <c r="O16" s="7">
        <f t="shared" si="3"/>
        <v>29</v>
      </c>
      <c r="P16" s="132"/>
      <c r="Q16" s="7">
        <f t="shared" si="3"/>
        <v>31</v>
      </c>
      <c r="R16" s="7">
        <f t="shared" si="3"/>
        <v>34</v>
      </c>
      <c r="S16" s="7">
        <f t="shared" si="3"/>
        <v>38</v>
      </c>
      <c r="T16" s="7">
        <f t="shared" si="3"/>
        <v>42</v>
      </c>
      <c r="X16" s="182"/>
      <c r="Y16" s="182"/>
      <c r="Z16" s="182"/>
      <c r="AA16" s="182"/>
      <c r="AC16" s="139"/>
      <c r="AO16" s="140"/>
    </row>
    <row r="17" spans="1:41" x14ac:dyDescent="0.25">
      <c r="C17" s="9">
        <v>8</v>
      </c>
      <c r="D17" s="6" t="s">
        <v>192</v>
      </c>
      <c r="G17" s="110">
        <f>$E$10*G10+$E$11*G11+$E$12*G12+$E$13*G13</f>
        <v>6.75</v>
      </c>
      <c r="H17" s="110">
        <f>$E$10*H10+$E$11*H11+$E$12*H12+$E$13*H13</f>
        <v>8.75</v>
      </c>
      <c r="I17" s="110">
        <f>$E$10*I10+$E$11*I11+$E$12*I12+$E$13*I13</f>
        <v>10.25</v>
      </c>
      <c r="J17" s="110">
        <f>$E$10*J10+$E$11*J11+$E$12*J12+$E$13*J13</f>
        <v>12.25</v>
      </c>
      <c r="K17" s="110"/>
      <c r="L17" s="110">
        <f>$E$10*L10+$E$11*L11+$E$12*L12+$E$13*L13</f>
        <v>15.25</v>
      </c>
      <c r="M17" s="110">
        <f>$E$10*M10+$E$11*M11+$E$12*M12+$E$13*M13</f>
        <v>17.5</v>
      </c>
      <c r="N17" s="110">
        <f>$E$10*N10+$E$11*N11+$E$12*N12+$E$13*N13</f>
        <v>19.25</v>
      </c>
      <c r="O17" s="110">
        <f>$E$10*O10+$E$11*O11+$E$12*O12+$E$13*O13</f>
        <v>21.25</v>
      </c>
      <c r="P17" s="110"/>
      <c r="Q17" s="110">
        <f>$E$10*Q10+$E$11*Q11+$E$12*Q12+$E$13*Q13</f>
        <v>24.25</v>
      </c>
      <c r="R17" s="110">
        <f>$E$10*R10+$E$11*R11+$E$12*R12+$E$13*R13</f>
        <v>27.5</v>
      </c>
      <c r="S17" s="110">
        <f>$E$10*S10+$E$11*S11+$E$12*S12+$E$13*S13</f>
        <v>30.25</v>
      </c>
      <c r="T17" s="110">
        <f>$E$10*T10+$E$11*T11+$E$12*T12+$E$13*T13</f>
        <v>33.25</v>
      </c>
      <c r="X17" s="182"/>
      <c r="Y17" s="182"/>
      <c r="Z17" s="182"/>
      <c r="AA17" s="182"/>
      <c r="AC17" s="139"/>
      <c r="AO17" s="140"/>
    </row>
    <row r="18" spans="1:41" x14ac:dyDescent="0.25">
      <c r="G18" s="30"/>
      <c r="H18" s="30"/>
      <c r="I18" s="30"/>
      <c r="J18" s="30"/>
      <c r="K18" s="30"/>
      <c r="L18" s="30"/>
      <c r="M18" s="30"/>
      <c r="N18" s="30"/>
      <c r="O18" s="30"/>
      <c r="P18" s="30"/>
      <c r="Q18" s="30"/>
      <c r="R18" s="30"/>
      <c r="S18" s="30"/>
      <c r="T18" s="30"/>
      <c r="X18" s="182"/>
      <c r="Y18" s="182"/>
      <c r="Z18" s="182"/>
      <c r="AA18" s="182"/>
      <c r="AC18" s="139"/>
      <c r="AO18" s="140"/>
    </row>
    <row r="19" spans="1:41" x14ac:dyDescent="0.25">
      <c r="A19" s="51"/>
      <c r="C19" s="9">
        <v>9</v>
      </c>
      <c r="D19" s="200" t="s">
        <v>277</v>
      </c>
      <c r="E19" s="206">
        <f>'Seller Ramp'!E6</f>
        <v>250</v>
      </c>
      <c r="F19" s="200"/>
      <c r="G19" s="103">
        <f>G17*$E$19</f>
        <v>1687.5</v>
      </c>
      <c r="H19" s="103">
        <f>H17*$E$19</f>
        <v>2187.5</v>
      </c>
      <c r="I19" s="103">
        <f>I17*$E$19</f>
        <v>2562.5</v>
      </c>
      <c r="J19" s="103">
        <f>J17*$E$19</f>
        <v>3062.5</v>
      </c>
      <c r="K19" s="131"/>
      <c r="L19" s="103">
        <f>L17*$E$19</f>
        <v>3812.5</v>
      </c>
      <c r="M19" s="103">
        <f>M17*$E$19</f>
        <v>4375</v>
      </c>
      <c r="N19" s="103">
        <f>N17*$E$19</f>
        <v>4812.5</v>
      </c>
      <c r="O19" s="103">
        <f>O17*$E$19</f>
        <v>5312.5</v>
      </c>
      <c r="P19" s="131"/>
      <c r="Q19" s="103">
        <f>Q17*$E$19</f>
        <v>6062.5</v>
      </c>
      <c r="R19" s="103">
        <f>R17*$E$19</f>
        <v>6875</v>
      </c>
      <c r="S19" s="103">
        <f>S17*$E$19</f>
        <v>7562.5</v>
      </c>
      <c r="T19" s="103">
        <f>T17*$E$19</f>
        <v>8312.5</v>
      </c>
      <c r="X19" s="182"/>
      <c r="Y19" s="182"/>
      <c r="Z19" s="182"/>
      <c r="AA19" s="182"/>
      <c r="AC19" s="139"/>
      <c r="AO19" s="140"/>
    </row>
    <row r="20" spans="1:41" x14ac:dyDescent="0.25">
      <c r="C20" s="9">
        <v>10</v>
      </c>
      <c r="D20" s="200" t="s">
        <v>278</v>
      </c>
      <c r="E20" s="134"/>
      <c r="F20" s="200"/>
      <c r="G20" s="207">
        <v>250</v>
      </c>
      <c r="H20" s="207"/>
      <c r="I20" s="207">
        <v>-250</v>
      </c>
      <c r="J20" s="207">
        <v>0</v>
      </c>
      <c r="K20" s="207"/>
      <c r="L20" s="207"/>
      <c r="M20" s="207">
        <v>-100</v>
      </c>
      <c r="N20" s="207">
        <v>-50</v>
      </c>
      <c r="O20" s="207">
        <v>250</v>
      </c>
      <c r="P20" s="207"/>
      <c r="Q20" s="207"/>
      <c r="R20" s="207"/>
      <c r="S20" s="207"/>
      <c r="T20" s="207"/>
      <c r="V20" s="29"/>
      <c r="W20" s="29"/>
      <c r="X20" s="182"/>
      <c r="Y20" s="182"/>
      <c r="Z20" s="182"/>
      <c r="AA20" s="182"/>
      <c r="AC20" s="139"/>
      <c r="AO20" s="140"/>
    </row>
    <row r="21" spans="1:41" x14ac:dyDescent="0.25">
      <c r="C21" s="9">
        <v>11</v>
      </c>
      <c r="D21" s="208" t="s">
        <v>270</v>
      </c>
      <c r="E21" s="208"/>
      <c r="F21" s="208"/>
      <c r="G21" s="209">
        <f>G19+G20</f>
        <v>1937.5</v>
      </c>
      <c r="H21" s="209">
        <f t="shared" ref="H21:T21" si="4">H19+H20</f>
        <v>2187.5</v>
      </c>
      <c r="I21" s="209">
        <f t="shared" si="4"/>
        <v>2312.5</v>
      </c>
      <c r="J21" s="209">
        <f t="shared" si="4"/>
        <v>3062.5</v>
      </c>
      <c r="K21" s="209"/>
      <c r="L21" s="209">
        <f t="shared" si="4"/>
        <v>3812.5</v>
      </c>
      <c r="M21" s="209">
        <f t="shared" si="4"/>
        <v>4275</v>
      </c>
      <c r="N21" s="209">
        <f t="shared" si="4"/>
        <v>4762.5</v>
      </c>
      <c r="O21" s="209">
        <f t="shared" si="4"/>
        <v>5562.5</v>
      </c>
      <c r="P21" s="209"/>
      <c r="Q21" s="209">
        <f t="shared" si="4"/>
        <v>6062.5</v>
      </c>
      <c r="R21" s="209">
        <f t="shared" si="4"/>
        <v>6875</v>
      </c>
      <c r="S21" s="209">
        <f t="shared" si="4"/>
        <v>7562.5</v>
      </c>
      <c r="T21" s="209">
        <f t="shared" si="4"/>
        <v>8312.5</v>
      </c>
      <c r="X21" s="182"/>
      <c r="Y21" s="182"/>
      <c r="Z21" s="182"/>
      <c r="AA21" s="182"/>
      <c r="AC21" s="139"/>
      <c r="AO21" s="140"/>
    </row>
    <row r="22" spans="1:41" x14ac:dyDescent="0.25">
      <c r="C22" s="9">
        <v>12</v>
      </c>
      <c r="D22" s="9" t="s">
        <v>73</v>
      </c>
      <c r="E22" s="9"/>
      <c r="F22" s="9"/>
      <c r="G22" s="115">
        <f>G21/SUM($G$21:$J$21)</f>
        <v>0.20394736842105263</v>
      </c>
      <c r="H22" s="115">
        <f>H21/SUM($G$21:$J$21)</f>
        <v>0.23026315789473684</v>
      </c>
      <c r="I22" s="115">
        <f>I21/SUM($G$21:$J$21)</f>
        <v>0.24342105263157895</v>
      </c>
      <c r="J22" s="115">
        <f>J21/SUM($G$21:$J$21)</f>
        <v>0.32236842105263158</v>
      </c>
      <c r="K22" s="133"/>
      <c r="L22" s="115">
        <f>L21/SUM($L$21:$O$21)</f>
        <v>0.20706042090970808</v>
      </c>
      <c r="M22" s="115">
        <f>M21/SUM($L$21:$O$21)</f>
        <v>0.23217922606924643</v>
      </c>
      <c r="N22" s="115">
        <f>N21/SUM($L$21:$O$21)</f>
        <v>0.25865580448065173</v>
      </c>
      <c r="O22" s="115">
        <f>O21/SUM($L$21:$O$21)</f>
        <v>0.30210454854039376</v>
      </c>
      <c r="P22" s="133"/>
      <c r="Q22" s="115">
        <f>Q21/SUM($Q$21:$T$21)</f>
        <v>0.210412147505423</v>
      </c>
      <c r="R22" s="115">
        <f>R21/SUM($Q$21:$T$21)</f>
        <v>0.23861171366594361</v>
      </c>
      <c r="S22" s="115">
        <f>S21/SUM($Q$21:$T$21)</f>
        <v>0.26247288503253796</v>
      </c>
      <c r="T22" s="115">
        <f>T21/SUM($Q$21:$T$21)</f>
        <v>0.28850325379609543</v>
      </c>
      <c r="X22" s="182"/>
      <c r="Y22" s="182"/>
      <c r="Z22" s="182"/>
      <c r="AA22" s="182"/>
      <c r="AC22" s="139"/>
      <c r="AO22" s="140"/>
    </row>
    <row r="23" spans="1:41" x14ac:dyDescent="0.25">
      <c r="C23" s="9">
        <v>13</v>
      </c>
      <c r="D23" s="9" t="s">
        <v>74</v>
      </c>
      <c r="E23" s="9"/>
      <c r="F23" s="9"/>
      <c r="G23" s="123"/>
      <c r="H23" s="123"/>
      <c r="I23" s="123"/>
      <c r="J23" s="123"/>
      <c r="K23" s="133"/>
      <c r="L23" s="115">
        <f>L21/G21-1</f>
        <v>0.967741935483871</v>
      </c>
      <c r="M23" s="115">
        <f>M21/H21-1</f>
        <v>0.95428571428571418</v>
      </c>
      <c r="N23" s="115">
        <f>N21/I21-1</f>
        <v>1.0594594594594593</v>
      </c>
      <c r="O23" s="115">
        <f>O21/J21-1</f>
        <v>0.81632653061224492</v>
      </c>
      <c r="P23" s="133"/>
      <c r="Q23" s="115">
        <f>Q21/L21-1</f>
        <v>0.5901639344262295</v>
      </c>
      <c r="R23" s="115">
        <f>R21/M21-1</f>
        <v>0.60818713450292394</v>
      </c>
      <c r="S23" s="115">
        <f>S21/N21-1</f>
        <v>0.5879265091863517</v>
      </c>
      <c r="T23" s="115">
        <f>T21/O21-1</f>
        <v>0.49438202247191021</v>
      </c>
      <c r="X23" s="182"/>
      <c r="Y23" s="182"/>
      <c r="Z23" s="182"/>
      <c r="AA23" s="182"/>
      <c r="AC23" s="139"/>
      <c r="AO23" s="140"/>
    </row>
    <row r="24" spans="1:41" x14ac:dyDescent="0.25">
      <c r="X24" s="182"/>
      <c r="Y24" s="182"/>
      <c r="Z24" s="182"/>
      <c r="AA24" s="182"/>
      <c r="AC24" s="139"/>
      <c r="AO24" s="140"/>
    </row>
    <row r="25" spans="1:41" x14ac:dyDescent="0.25">
      <c r="D25" s="116" t="s">
        <v>195</v>
      </c>
      <c r="E25" s="117"/>
      <c r="F25" s="117"/>
      <c r="G25" s="117"/>
      <c r="H25" s="117"/>
      <c r="I25" s="117"/>
      <c r="J25" s="117"/>
      <c r="L25" s="117"/>
      <c r="M25" s="117"/>
      <c r="N25" s="117"/>
      <c r="O25" s="117"/>
      <c r="Q25" s="117"/>
      <c r="R25" s="117"/>
      <c r="S25" s="117"/>
      <c r="T25" s="117"/>
      <c r="X25" s="182"/>
      <c r="Y25" s="182"/>
      <c r="Z25" s="182"/>
      <c r="AA25" s="182"/>
      <c r="AC25" s="139"/>
      <c r="AO25" s="140"/>
    </row>
    <row r="26" spans="1:41" x14ac:dyDescent="0.25">
      <c r="X26" s="182"/>
      <c r="Y26" s="182"/>
      <c r="Z26" s="182"/>
      <c r="AA26" s="182"/>
      <c r="AC26" s="139"/>
      <c r="AO26" s="140"/>
    </row>
    <row r="27" spans="1:41" x14ac:dyDescent="0.25">
      <c r="C27" s="9">
        <v>14</v>
      </c>
      <c r="D27" t="s">
        <v>196</v>
      </c>
      <c r="G27" s="118">
        <f>G21</f>
        <v>1937.5</v>
      </c>
      <c r="H27" s="118">
        <f t="shared" ref="H27:J27" si="5">H21</f>
        <v>2187.5</v>
      </c>
      <c r="I27" s="118">
        <f t="shared" si="5"/>
        <v>2312.5</v>
      </c>
      <c r="J27" s="118">
        <f t="shared" si="5"/>
        <v>3062.5</v>
      </c>
      <c r="K27" s="118"/>
      <c r="L27" s="118">
        <f t="shared" ref="L27:T27" si="6">L21</f>
        <v>3812.5</v>
      </c>
      <c r="M27" s="118">
        <f t="shared" si="6"/>
        <v>4275</v>
      </c>
      <c r="N27" s="118">
        <f t="shared" si="6"/>
        <v>4762.5</v>
      </c>
      <c r="O27" s="118">
        <f t="shared" si="6"/>
        <v>5562.5</v>
      </c>
      <c r="P27" s="118"/>
      <c r="Q27" s="118">
        <f t="shared" si="6"/>
        <v>6062.5</v>
      </c>
      <c r="R27" s="118">
        <f t="shared" si="6"/>
        <v>6875</v>
      </c>
      <c r="S27" s="118">
        <f t="shared" si="6"/>
        <v>7562.5</v>
      </c>
      <c r="T27" s="118">
        <f t="shared" si="6"/>
        <v>8312.5</v>
      </c>
      <c r="X27" s="182"/>
      <c r="Y27" s="182"/>
      <c r="Z27" s="182"/>
      <c r="AA27" s="182"/>
      <c r="AC27" s="139"/>
      <c r="AO27" s="140"/>
    </row>
    <row r="28" spans="1:41" x14ac:dyDescent="0.25">
      <c r="C28" s="9">
        <v>15</v>
      </c>
      <c r="D28" t="s">
        <v>197</v>
      </c>
      <c r="E28" s="114">
        <v>0.2</v>
      </c>
      <c r="G28" s="22">
        <f>$E$28*G27</f>
        <v>387.5</v>
      </c>
      <c r="H28" s="22">
        <f t="shared" ref="H28:J28" si="7">$E$28*H27</f>
        <v>437.5</v>
      </c>
      <c r="I28" s="22">
        <f t="shared" si="7"/>
        <v>462.5</v>
      </c>
      <c r="J28" s="22">
        <f t="shared" si="7"/>
        <v>612.5</v>
      </c>
      <c r="K28" s="22"/>
      <c r="L28" s="22">
        <f t="shared" ref="L28" si="8">$E$28*L27</f>
        <v>762.5</v>
      </c>
      <c r="M28" s="22">
        <f t="shared" ref="M28" si="9">$E$28*M27</f>
        <v>855</v>
      </c>
      <c r="N28" s="22">
        <f t="shared" ref="N28" si="10">$E$28*N27</f>
        <v>952.5</v>
      </c>
      <c r="O28" s="22">
        <f t="shared" ref="O28" si="11">$E$28*O27</f>
        <v>1112.5</v>
      </c>
      <c r="P28" s="22"/>
      <c r="Q28" s="22">
        <f t="shared" ref="Q28" si="12">$E$28*Q27</f>
        <v>1212.5</v>
      </c>
      <c r="R28" s="22">
        <f t="shared" ref="R28" si="13">$E$28*R27</f>
        <v>1375</v>
      </c>
      <c r="S28" s="22">
        <f t="shared" ref="S28" si="14">$E$28*S27</f>
        <v>1512.5</v>
      </c>
      <c r="T28" s="22">
        <f t="shared" ref="T28" si="15">$E$28*T27</f>
        <v>1662.5</v>
      </c>
      <c r="X28" s="182"/>
      <c r="Y28" s="182"/>
      <c r="Z28" s="182"/>
      <c r="AA28" s="182"/>
      <c r="AC28" s="139"/>
      <c r="AO28" s="140"/>
    </row>
    <row r="29" spans="1:41" x14ac:dyDescent="0.25">
      <c r="C29" s="9">
        <v>16</v>
      </c>
      <c r="D29" s="105" t="s">
        <v>198</v>
      </c>
      <c r="E29" s="105"/>
      <c r="F29" s="105"/>
      <c r="G29" s="119">
        <f>G27-G28</f>
        <v>1550</v>
      </c>
      <c r="H29" s="119">
        <f t="shared" ref="H29:J29" si="16">H27-H28</f>
        <v>1750</v>
      </c>
      <c r="I29" s="119">
        <f t="shared" si="16"/>
        <v>1850</v>
      </c>
      <c r="J29" s="119">
        <f t="shared" si="16"/>
        <v>2450</v>
      </c>
      <c r="K29" s="22"/>
      <c r="L29" s="119">
        <f t="shared" ref="L29" si="17">L27-L28</f>
        <v>3050</v>
      </c>
      <c r="M29" s="119">
        <f t="shared" ref="M29" si="18">M27-M28</f>
        <v>3420</v>
      </c>
      <c r="N29" s="119">
        <f t="shared" ref="N29" si="19">N27-N28</f>
        <v>3810</v>
      </c>
      <c r="O29" s="119">
        <f t="shared" ref="O29" si="20">O27-O28</f>
        <v>4450</v>
      </c>
      <c r="P29" s="22"/>
      <c r="Q29" s="119">
        <f t="shared" ref="Q29" si="21">Q27-Q28</f>
        <v>4850</v>
      </c>
      <c r="R29" s="119">
        <f t="shared" ref="R29" si="22">R27-R28</f>
        <v>5500</v>
      </c>
      <c r="S29" s="119">
        <f t="shared" ref="S29" si="23">S27-S28</f>
        <v>6050</v>
      </c>
      <c r="T29" s="119">
        <f t="shared" ref="T29" si="24">T27-T28</f>
        <v>6650</v>
      </c>
      <c r="X29" s="182"/>
      <c r="Y29" s="182"/>
      <c r="Z29" s="182"/>
      <c r="AA29" s="182"/>
      <c r="AC29" s="143" t="s">
        <v>217</v>
      </c>
      <c r="AO29" s="140"/>
    </row>
    <row r="30" spans="1:41" x14ac:dyDescent="0.25">
      <c r="C30" s="9">
        <v>17</v>
      </c>
      <c r="D30" t="s">
        <v>199</v>
      </c>
      <c r="G30" s="111">
        <v>50</v>
      </c>
      <c r="H30" s="111">
        <v>50</v>
      </c>
      <c r="I30" s="111">
        <v>50</v>
      </c>
      <c r="J30" s="111">
        <v>50</v>
      </c>
      <c r="K30" s="124"/>
      <c r="L30" s="111">
        <v>60</v>
      </c>
      <c r="M30" s="111">
        <v>60</v>
      </c>
      <c r="N30" s="111">
        <v>60</v>
      </c>
      <c r="O30" s="111">
        <v>60</v>
      </c>
      <c r="P30" s="124"/>
      <c r="Q30" s="111">
        <v>70</v>
      </c>
      <c r="R30" s="111">
        <v>70</v>
      </c>
      <c r="S30" s="111">
        <v>70</v>
      </c>
      <c r="T30" s="111">
        <v>70</v>
      </c>
      <c r="X30" s="182"/>
      <c r="Y30" s="182"/>
      <c r="Z30" s="182"/>
      <c r="AA30" s="182"/>
      <c r="AC30" s="144"/>
      <c r="AD30" s="1"/>
      <c r="AE30" s="1"/>
      <c r="AF30" s="1"/>
      <c r="AG30" s="1"/>
      <c r="AH30" s="1"/>
      <c r="AI30" s="1"/>
      <c r="AJ30" s="1"/>
      <c r="AK30" s="1"/>
      <c r="AL30" s="1"/>
      <c r="AM30" s="1"/>
      <c r="AN30" s="1"/>
      <c r="AO30" s="145"/>
    </row>
    <row r="31" spans="1:41" x14ac:dyDescent="0.25">
      <c r="C31" s="9">
        <v>18</v>
      </c>
      <c r="D31" t="s">
        <v>200</v>
      </c>
      <c r="G31" s="121">
        <f>G29/G30</f>
        <v>31</v>
      </c>
      <c r="H31" s="121">
        <f t="shared" ref="H31:J31" si="25">H29/H30</f>
        <v>35</v>
      </c>
      <c r="I31" s="121">
        <f t="shared" si="25"/>
        <v>37</v>
      </c>
      <c r="J31" s="121">
        <f t="shared" si="25"/>
        <v>49</v>
      </c>
      <c r="K31" s="121"/>
      <c r="L31" s="121">
        <f t="shared" ref="L31" si="26">L29/L30</f>
        <v>50.833333333333336</v>
      </c>
      <c r="M31" s="121">
        <f t="shared" ref="M31" si="27">M29/M30</f>
        <v>57</v>
      </c>
      <c r="N31" s="121">
        <f t="shared" ref="N31" si="28">N29/N30</f>
        <v>63.5</v>
      </c>
      <c r="O31" s="121">
        <f t="shared" ref="O31" si="29">O29/O30</f>
        <v>74.166666666666671</v>
      </c>
      <c r="P31" s="121"/>
      <c r="Q31" s="121">
        <f t="shared" ref="Q31" si="30">Q29/Q30</f>
        <v>69.285714285714292</v>
      </c>
      <c r="R31" s="121">
        <f t="shared" ref="R31" si="31">R29/R30</f>
        <v>78.571428571428569</v>
      </c>
      <c r="S31" s="121">
        <f t="shared" ref="S31" si="32">S29/S30</f>
        <v>86.428571428571431</v>
      </c>
      <c r="T31" s="121">
        <f t="shared" ref="T31" si="33">T29/T30</f>
        <v>95</v>
      </c>
      <c r="X31" s="182"/>
      <c r="Y31" s="182"/>
      <c r="Z31" s="182"/>
      <c r="AA31" s="182"/>
    </row>
    <row r="32" spans="1:41" x14ac:dyDescent="0.25">
      <c r="C32" s="9">
        <v>19</v>
      </c>
      <c r="D32" t="s">
        <v>201</v>
      </c>
      <c r="G32" s="113">
        <v>0.13</v>
      </c>
      <c r="H32" s="113">
        <v>0.13</v>
      </c>
      <c r="I32" s="113">
        <v>0.13</v>
      </c>
      <c r="J32" s="113">
        <v>0.13</v>
      </c>
      <c r="K32" s="134"/>
      <c r="L32" s="113">
        <v>0.15</v>
      </c>
      <c r="M32" s="113">
        <v>0.15</v>
      </c>
      <c r="N32" s="113">
        <v>0.15</v>
      </c>
      <c r="O32" s="113">
        <v>0.15</v>
      </c>
      <c r="P32" s="134"/>
      <c r="Q32" s="113">
        <v>0.16</v>
      </c>
      <c r="R32" s="113">
        <v>0.16</v>
      </c>
      <c r="S32" s="113">
        <v>0.16</v>
      </c>
      <c r="T32" s="113">
        <v>0.16</v>
      </c>
      <c r="X32" s="182"/>
      <c r="Y32" s="182"/>
      <c r="Z32" s="182"/>
      <c r="AA32" s="182"/>
    </row>
    <row r="33" spans="3:27" x14ac:dyDescent="0.25">
      <c r="C33" s="9">
        <v>20</v>
      </c>
      <c r="D33" s="6" t="s">
        <v>202</v>
      </c>
      <c r="E33" s="6"/>
      <c r="F33" s="6"/>
      <c r="G33" s="122">
        <f>J31/J32</f>
        <v>376.92307692307691</v>
      </c>
      <c r="H33" s="122">
        <f t="shared" ref="H33:J33" si="34">L31/L32</f>
        <v>338.88888888888891</v>
      </c>
      <c r="I33" s="122">
        <f t="shared" si="34"/>
        <v>380</v>
      </c>
      <c r="J33" s="122">
        <f t="shared" si="34"/>
        <v>423.33333333333337</v>
      </c>
      <c r="K33" s="122"/>
      <c r="L33" s="122">
        <f t="shared" ref="L33" si="35">O31/O32</f>
        <v>494.44444444444451</v>
      </c>
      <c r="M33" s="122">
        <f t="shared" ref="M33" si="36">Q31/Q32</f>
        <v>433.03571428571433</v>
      </c>
      <c r="N33" s="122">
        <f t="shared" ref="N33" si="37">R31/R32</f>
        <v>491.07142857142856</v>
      </c>
      <c r="O33" s="122">
        <f t="shared" ref="O33" si="38">S31/S32</f>
        <v>540.17857142857144</v>
      </c>
      <c r="P33" s="122"/>
      <c r="Q33" s="122">
        <f t="shared" ref="Q33" si="39">T31/T32</f>
        <v>593.75</v>
      </c>
      <c r="R33" s="125"/>
      <c r="S33" s="125"/>
      <c r="T33" s="125"/>
      <c r="X33" s="182"/>
      <c r="Y33" s="182"/>
      <c r="Z33" s="182"/>
      <c r="AA33" s="182"/>
    </row>
    <row r="34" spans="3:27" x14ac:dyDescent="0.25">
      <c r="C34" s="9">
        <v>21</v>
      </c>
      <c r="D34" t="s">
        <v>203</v>
      </c>
      <c r="G34" s="112">
        <v>6.5000000000000002E-2</v>
      </c>
      <c r="H34" s="112">
        <v>6.5000000000000002E-2</v>
      </c>
      <c r="I34" s="112">
        <v>6.5000000000000002E-2</v>
      </c>
      <c r="J34" s="112">
        <v>6.5000000000000002E-2</v>
      </c>
      <c r="K34" s="135"/>
      <c r="L34" s="112">
        <v>6.5000000000000002E-2</v>
      </c>
      <c r="M34" s="112">
        <v>6.5000000000000002E-2</v>
      </c>
      <c r="N34" s="112">
        <v>6.5000000000000002E-2</v>
      </c>
      <c r="O34" s="112">
        <v>6.5000000000000002E-2</v>
      </c>
      <c r="P34" s="135"/>
      <c r="Q34" s="112">
        <v>6.5000000000000002E-2</v>
      </c>
      <c r="R34" s="126"/>
      <c r="S34" s="126"/>
      <c r="T34" s="126"/>
      <c r="X34" s="182"/>
      <c r="Y34" s="182"/>
      <c r="Z34" s="182"/>
      <c r="AA34" s="182"/>
    </row>
    <row r="35" spans="3:27" x14ac:dyDescent="0.25">
      <c r="C35" s="9">
        <v>22</v>
      </c>
      <c r="D35" s="6" t="s">
        <v>204</v>
      </c>
      <c r="E35" s="6"/>
      <c r="F35" s="6"/>
      <c r="G35" s="122">
        <f>H33/H34</f>
        <v>5213.6752136752139</v>
      </c>
      <c r="H35" s="122">
        <f t="shared" ref="H35:N35" si="40">I33/I34</f>
        <v>5846.1538461538457</v>
      </c>
      <c r="I35" s="122">
        <f t="shared" si="40"/>
        <v>6512.8205128205136</v>
      </c>
      <c r="J35" s="122">
        <f>L33/L34</f>
        <v>7606.8376068376074</v>
      </c>
      <c r="K35" s="122"/>
      <c r="L35" s="122">
        <f t="shared" si="40"/>
        <v>6662.0879120879126</v>
      </c>
      <c r="M35" s="122">
        <f t="shared" si="40"/>
        <v>7554.9450549450548</v>
      </c>
      <c r="N35" s="122">
        <f t="shared" si="40"/>
        <v>8310.4395604395595</v>
      </c>
      <c r="O35" s="122">
        <f>Q33/Q34</f>
        <v>9134.6153846153848</v>
      </c>
      <c r="P35" s="122"/>
      <c r="Q35" s="125"/>
      <c r="R35" s="127"/>
      <c r="S35" s="127"/>
      <c r="T35" s="127"/>
      <c r="X35" s="182"/>
      <c r="Y35" s="182"/>
      <c r="Z35" s="182"/>
      <c r="AA35" s="182"/>
    </row>
    <row r="36" spans="3:27" x14ac:dyDescent="0.25">
      <c r="C36" s="9">
        <v>23</v>
      </c>
      <c r="D36" t="s">
        <v>205</v>
      </c>
      <c r="G36" s="111">
        <v>200</v>
      </c>
      <c r="H36" s="111">
        <v>200</v>
      </c>
      <c r="I36" s="111">
        <v>200</v>
      </c>
      <c r="J36" s="111">
        <v>200</v>
      </c>
      <c r="K36" s="124"/>
      <c r="L36" s="111">
        <v>200</v>
      </c>
      <c r="M36" s="111">
        <v>200</v>
      </c>
      <c r="N36" s="111">
        <v>200</v>
      </c>
      <c r="O36" s="111">
        <v>200</v>
      </c>
      <c r="P36" s="124"/>
      <c r="Q36" s="128"/>
      <c r="R36" s="128"/>
      <c r="S36" s="128"/>
      <c r="T36" s="128"/>
      <c r="X36" s="182"/>
      <c r="Y36" s="182"/>
      <c r="Z36" s="182"/>
      <c r="AA36" s="182"/>
    </row>
    <row r="37" spans="3:27" x14ac:dyDescent="0.25">
      <c r="C37" s="9">
        <v>24</v>
      </c>
      <c r="D37" t="s">
        <v>206</v>
      </c>
      <c r="G37" s="120">
        <f>G35*G36/1000</f>
        <v>1042.7350427350427</v>
      </c>
      <c r="H37" s="120">
        <f t="shared" ref="H37:O37" si="41">H35*H36/1000</f>
        <v>1169.2307692307693</v>
      </c>
      <c r="I37" s="120">
        <f t="shared" si="41"/>
        <v>1302.5641025641028</v>
      </c>
      <c r="J37" s="120">
        <f t="shared" si="41"/>
        <v>1521.3675213675215</v>
      </c>
      <c r="K37" s="120"/>
      <c r="L37" s="120">
        <f t="shared" si="41"/>
        <v>1332.4175824175827</v>
      </c>
      <c r="M37" s="120">
        <f t="shared" si="41"/>
        <v>1510.9890109890109</v>
      </c>
      <c r="N37" s="120">
        <f t="shared" si="41"/>
        <v>1662.0879120879119</v>
      </c>
      <c r="O37" s="120">
        <f t="shared" si="41"/>
        <v>1826.9230769230769</v>
      </c>
      <c r="P37" s="120"/>
      <c r="Q37" s="129"/>
      <c r="R37" s="93"/>
      <c r="S37" s="93"/>
      <c r="T37" s="93"/>
      <c r="X37" s="182"/>
      <c r="Y37" s="182"/>
      <c r="Z37" s="182"/>
      <c r="AA37" s="182"/>
    </row>
    <row r="38" spans="3:27" x14ac:dyDescent="0.25">
      <c r="C38" s="9">
        <v>25</v>
      </c>
      <c r="D38" t="s">
        <v>207</v>
      </c>
      <c r="G38" s="121">
        <f>G37/G33</f>
        <v>2.7664399092970524</v>
      </c>
      <c r="H38" s="121">
        <f t="shared" ref="H38:O38" si="42">H37/H33</f>
        <v>3.4501891551071879</v>
      </c>
      <c r="I38" s="121">
        <f t="shared" si="42"/>
        <v>3.4278002699055334</v>
      </c>
      <c r="J38" s="121">
        <f t="shared" si="42"/>
        <v>3.5937815465374521</v>
      </c>
      <c r="K38" s="121"/>
      <c r="L38" s="121">
        <f t="shared" si="42"/>
        <v>2.6947771329793806</v>
      </c>
      <c r="M38" s="121">
        <f t="shared" si="42"/>
        <v>3.4892942109436951</v>
      </c>
      <c r="N38" s="121">
        <f t="shared" si="42"/>
        <v>3.3846153846153846</v>
      </c>
      <c r="O38" s="121">
        <f t="shared" si="42"/>
        <v>3.3820724729815637</v>
      </c>
      <c r="P38" s="121"/>
      <c r="Q38" s="130"/>
      <c r="R38" s="93"/>
      <c r="S38" s="93"/>
      <c r="T38" s="93"/>
      <c r="X38" s="182"/>
      <c r="Y38" s="182"/>
      <c r="Z38" s="182"/>
      <c r="AA38" s="182"/>
    </row>
  </sheetData>
  <mergeCells count="4">
    <mergeCell ref="G4:J4"/>
    <mergeCell ref="L4:O4"/>
    <mergeCell ref="Q4:T4"/>
    <mergeCell ref="X4:AA38"/>
  </mergeCells>
  <phoneticPr fontId="3" type="noConversion"/>
  <pageMargins left="0.7" right="0.7" top="0.75" bottom="0.75" header="0.3" footer="0.3"/>
  <pageSetup scale="49"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1670-C6CD-4361-BE49-93A929F16524}">
  <sheetPr>
    <pageSetUpPr fitToPage="1"/>
  </sheetPr>
  <dimension ref="C3:V34"/>
  <sheetViews>
    <sheetView showGridLines="0" topLeftCell="A4" zoomScaleNormal="100" zoomScaleSheetLayoutView="85" workbookViewId="0">
      <selection activeCell="D28" sqref="D28"/>
    </sheetView>
  </sheetViews>
  <sheetFormatPr defaultRowHeight="15" x14ac:dyDescent="0.25"/>
  <cols>
    <col min="2" max="2" width="3.85546875" customWidth="1"/>
    <col min="3" max="3" width="5.42578125" customWidth="1"/>
    <col min="4" max="4" width="22.140625" customWidth="1"/>
    <col min="10" max="10" width="2.5703125" customWidth="1"/>
    <col min="11" max="13" width="10.5703125" customWidth="1"/>
    <col min="14" max="14" width="2.5703125" customWidth="1"/>
    <col min="15" max="15" width="13.140625" customWidth="1"/>
    <col min="16" max="16" width="2.5703125" customWidth="1"/>
    <col min="18" max="18" width="2.7109375" customWidth="1"/>
    <col min="23" max="23" width="2.7109375" customWidth="1"/>
  </cols>
  <sheetData>
    <row r="3" spans="3:22" ht="18.75" x14ac:dyDescent="0.3">
      <c r="C3" s="91" t="s">
        <v>123</v>
      </c>
    </row>
    <row r="4" spans="3:22" x14ac:dyDescent="0.25">
      <c r="P4" s="51"/>
      <c r="Q4" s="51"/>
      <c r="R4" s="51"/>
    </row>
    <row r="5" spans="3:22" x14ac:dyDescent="0.25">
      <c r="D5" s="58"/>
      <c r="E5" s="41">
        <v>2020</v>
      </c>
      <c r="F5" s="41">
        <v>2021</v>
      </c>
      <c r="G5" s="41">
        <v>2022</v>
      </c>
      <c r="H5" s="41">
        <v>2023</v>
      </c>
      <c r="I5" s="41">
        <v>2024</v>
      </c>
      <c r="J5" s="58"/>
      <c r="K5" s="196" t="s">
        <v>119</v>
      </c>
      <c r="L5" s="196"/>
      <c r="M5" s="196"/>
      <c r="N5" s="58"/>
      <c r="O5" s="41"/>
      <c r="P5" s="51"/>
      <c r="Q5" s="51"/>
      <c r="R5" s="51"/>
      <c r="S5" s="184" t="s">
        <v>272</v>
      </c>
      <c r="T5" s="183"/>
      <c r="U5" s="183"/>
      <c r="V5" s="183"/>
    </row>
    <row r="6" spans="3:22" s="35" customFormat="1" ht="33" customHeight="1" x14ac:dyDescent="0.25">
      <c r="D6" s="152"/>
      <c r="E6" s="153" t="s">
        <v>117</v>
      </c>
      <c r="F6" s="153" t="s">
        <v>117</v>
      </c>
      <c r="G6" s="153" t="s">
        <v>18</v>
      </c>
      <c r="H6" s="153" t="s">
        <v>118</v>
      </c>
      <c r="I6" s="153" t="s">
        <v>118</v>
      </c>
      <c r="J6" s="152"/>
      <c r="K6" s="154" t="s">
        <v>120</v>
      </c>
      <c r="L6" s="154" t="s">
        <v>124</v>
      </c>
      <c r="M6" s="154" t="s">
        <v>121</v>
      </c>
      <c r="N6" s="152"/>
      <c r="O6" s="154" t="s">
        <v>122</v>
      </c>
      <c r="S6" s="183"/>
      <c r="T6" s="183"/>
      <c r="U6" s="183"/>
      <c r="V6" s="183"/>
    </row>
    <row r="7" spans="3:22" s="35" customFormat="1" x14ac:dyDescent="0.25">
      <c r="C7" s="9" t="s">
        <v>264</v>
      </c>
      <c r="D7"/>
      <c r="E7" s="29"/>
      <c r="F7" s="29"/>
      <c r="G7" s="29"/>
      <c r="H7" s="29"/>
      <c r="I7" s="29"/>
      <c r="J7"/>
      <c r="K7" s="29"/>
      <c r="L7" s="29"/>
      <c r="M7" s="29"/>
      <c r="N7"/>
      <c r="O7" s="29"/>
      <c r="S7" s="183"/>
      <c r="T7" s="183"/>
      <c r="U7" s="183"/>
      <c r="V7" s="183"/>
    </row>
    <row r="8" spans="3:22" s="35" customFormat="1" x14ac:dyDescent="0.25">
      <c r="D8" s="156" t="s">
        <v>218</v>
      </c>
      <c r="E8" s="157"/>
      <c r="F8" s="157"/>
      <c r="G8" s="157"/>
      <c r="H8" s="157"/>
      <c r="I8" s="157"/>
      <c r="J8" s="156"/>
      <c r="K8" s="158"/>
      <c r="L8" s="158"/>
      <c r="M8" s="158"/>
      <c r="N8" s="156"/>
      <c r="O8" s="158"/>
      <c r="S8" s="183"/>
      <c r="T8" s="183"/>
      <c r="U8" s="183"/>
      <c r="V8" s="183"/>
    </row>
    <row r="9" spans="3:22" s="35" customFormat="1" x14ac:dyDescent="0.25">
      <c r="E9" s="34"/>
      <c r="F9" s="34"/>
      <c r="G9" s="34"/>
      <c r="H9" s="34"/>
      <c r="I9" s="34"/>
      <c r="K9" s="36"/>
      <c r="L9" s="36"/>
      <c r="M9" s="36"/>
      <c r="O9" s="36"/>
      <c r="S9" s="183"/>
      <c r="T9" s="183"/>
      <c r="U9" s="183"/>
      <c r="V9" s="183"/>
    </row>
    <row r="10" spans="3:22" x14ac:dyDescent="0.25">
      <c r="C10" s="9">
        <v>7</v>
      </c>
      <c r="D10" t="s">
        <v>105</v>
      </c>
      <c r="E10" s="146">
        <v>1</v>
      </c>
      <c r="F10" s="146">
        <v>1</v>
      </c>
      <c r="G10" s="146">
        <v>1</v>
      </c>
      <c r="H10" s="146">
        <v>1</v>
      </c>
      <c r="I10" s="146">
        <v>1</v>
      </c>
      <c r="K10" s="151"/>
      <c r="L10" s="151"/>
      <c r="M10" s="151"/>
      <c r="O10" s="93"/>
      <c r="S10" s="183"/>
      <c r="T10" s="183"/>
      <c r="U10" s="183"/>
      <c r="V10" s="183"/>
    </row>
    <row r="11" spans="3:22" x14ac:dyDescent="0.25">
      <c r="C11" s="9">
        <v>8</v>
      </c>
      <c r="D11" s="1" t="s">
        <v>106</v>
      </c>
      <c r="E11" s="147">
        <v>0.35</v>
      </c>
      <c r="F11" s="147">
        <v>0.35</v>
      </c>
      <c r="G11" s="147">
        <v>0.3</v>
      </c>
      <c r="H11" s="147">
        <v>0.27</v>
      </c>
      <c r="I11" s="147">
        <v>0.25</v>
      </c>
      <c r="J11" s="1"/>
      <c r="K11" s="147">
        <v>0.2</v>
      </c>
      <c r="L11" s="148">
        <v>0.18</v>
      </c>
      <c r="M11" s="147">
        <v>0.22</v>
      </c>
      <c r="N11" s="1"/>
      <c r="O11" s="147">
        <v>0.22</v>
      </c>
      <c r="S11" s="183"/>
      <c r="T11" s="183"/>
      <c r="U11" s="183"/>
      <c r="V11" s="183"/>
    </row>
    <row r="12" spans="3:22" x14ac:dyDescent="0.25">
      <c r="C12" s="9">
        <v>9</v>
      </c>
      <c r="D12" t="s">
        <v>107</v>
      </c>
      <c r="E12" s="29">
        <f>E10-E11</f>
        <v>0.65</v>
      </c>
      <c r="F12" s="29">
        <f>F10-F11</f>
        <v>0.65</v>
      </c>
      <c r="G12" s="29">
        <f>G10-G11</f>
        <v>0.7</v>
      </c>
      <c r="H12" s="29">
        <f>H10-H11</f>
        <v>0.73</v>
      </c>
      <c r="I12" s="29">
        <f>I10-I11</f>
        <v>0.75</v>
      </c>
      <c r="K12" s="29">
        <f>1-K11</f>
        <v>0.8</v>
      </c>
      <c r="L12" s="29">
        <f>1-L11</f>
        <v>0.82000000000000006</v>
      </c>
      <c r="M12" s="29">
        <f>1-M11</f>
        <v>0.78</v>
      </c>
      <c r="O12" s="29">
        <f>1-O11</f>
        <v>0.78</v>
      </c>
      <c r="S12" s="183"/>
      <c r="T12" s="183"/>
      <c r="U12" s="183"/>
      <c r="V12" s="183"/>
    </row>
    <row r="13" spans="3:22" x14ac:dyDescent="0.25">
      <c r="S13" s="183"/>
      <c r="T13" s="183"/>
      <c r="U13" s="183"/>
      <c r="V13" s="183"/>
    </row>
    <row r="14" spans="3:22" x14ac:dyDescent="0.25">
      <c r="C14" s="9">
        <v>10</v>
      </c>
      <c r="D14" t="s">
        <v>108</v>
      </c>
      <c r="E14" s="146">
        <v>0.8</v>
      </c>
      <c r="F14" s="146">
        <v>0.7</v>
      </c>
      <c r="G14" s="146">
        <v>0.65</v>
      </c>
      <c r="H14" s="146">
        <v>0.65</v>
      </c>
      <c r="I14" s="146">
        <v>0.55000000000000004</v>
      </c>
      <c r="K14" s="146">
        <v>0.5</v>
      </c>
      <c r="L14" s="146">
        <v>0.45</v>
      </c>
      <c r="M14" s="146">
        <v>0.42</v>
      </c>
      <c r="N14" s="50"/>
      <c r="O14" s="146">
        <v>0.45</v>
      </c>
      <c r="S14" s="183"/>
      <c r="T14" s="183"/>
      <c r="U14" s="183"/>
      <c r="V14" s="183"/>
    </row>
    <row r="15" spans="3:22" x14ac:dyDescent="0.25">
      <c r="C15" s="9">
        <v>11</v>
      </c>
      <c r="D15" t="s">
        <v>109</v>
      </c>
      <c r="E15" s="146">
        <v>0.3</v>
      </c>
      <c r="F15" s="146">
        <v>0.28000000000000003</v>
      </c>
      <c r="G15" s="146">
        <v>0.28000000000000003</v>
      </c>
      <c r="H15" s="146">
        <v>0.25</v>
      </c>
      <c r="I15" s="146">
        <v>0.25</v>
      </c>
      <c r="K15" s="146">
        <v>0.3</v>
      </c>
      <c r="L15" s="146">
        <v>0.35</v>
      </c>
      <c r="M15" s="146">
        <v>0.31</v>
      </c>
      <c r="N15" s="50"/>
      <c r="O15" s="146">
        <v>0.25</v>
      </c>
      <c r="S15" s="183"/>
      <c r="T15" s="183"/>
      <c r="U15" s="183"/>
      <c r="V15" s="183"/>
    </row>
    <row r="16" spans="3:22" x14ac:dyDescent="0.25">
      <c r="C16" s="9">
        <v>12</v>
      </c>
      <c r="D16" s="1" t="s">
        <v>110</v>
      </c>
      <c r="E16" s="147">
        <v>0.12</v>
      </c>
      <c r="F16" s="147">
        <v>0.12</v>
      </c>
      <c r="G16" s="147">
        <v>0.16</v>
      </c>
      <c r="H16" s="147">
        <v>0.16</v>
      </c>
      <c r="I16" s="147">
        <v>0.15</v>
      </c>
      <c r="J16" s="1"/>
      <c r="K16" s="147">
        <v>0.12</v>
      </c>
      <c r="L16" s="147">
        <v>0.18</v>
      </c>
      <c r="M16" s="147">
        <v>0.14000000000000001</v>
      </c>
      <c r="N16" s="149"/>
      <c r="O16" s="147">
        <v>0.14000000000000001</v>
      </c>
      <c r="S16" s="183"/>
      <c r="T16" s="183"/>
      <c r="U16" s="183"/>
      <c r="V16" s="183"/>
    </row>
    <row r="17" spans="3:22" x14ac:dyDescent="0.25">
      <c r="D17" t="s">
        <v>111</v>
      </c>
      <c r="E17" s="29">
        <f>SUM(E14:E16)</f>
        <v>1.2200000000000002</v>
      </c>
      <c r="F17" s="29">
        <f>SUM(F14:F16)</f>
        <v>1.1000000000000001</v>
      </c>
      <c r="G17" s="29">
        <f>SUM(G14:G16)</f>
        <v>1.0900000000000001</v>
      </c>
      <c r="H17" s="29">
        <f>SUM(H14:H16)</f>
        <v>1.06</v>
      </c>
      <c r="I17" s="29">
        <f>SUM(I14:I16)</f>
        <v>0.95000000000000007</v>
      </c>
      <c r="K17" s="29">
        <f>SUM(K14:K16)</f>
        <v>0.92</v>
      </c>
      <c r="L17" s="29">
        <f>SUM(L14:L16)</f>
        <v>0.98</v>
      </c>
      <c r="M17" s="29">
        <f>SUM(M14:M16)</f>
        <v>0.87</v>
      </c>
      <c r="O17" s="29">
        <f>SUM(O14:O16)</f>
        <v>0.84</v>
      </c>
      <c r="S17" s="183"/>
      <c r="T17" s="183"/>
      <c r="U17" s="183"/>
      <c r="V17" s="183"/>
    </row>
    <row r="18" spans="3:22" x14ac:dyDescent="0.25">
      <c r="S18" s="183"/>
      <c r="T18" s="183"/>
      <c r="U18" s="183"/>
      <c r="V18" s="183"/>
    </row>
    <row r="19" spans="3:22" x14ac:dyDescent="0.25">
      <c r="C19" s="9">
        <v>13</v>
      </c>
      <c r="D19" t="s">
        <v>112</v>
      </c>
      <c r="E19" s="29">
        <f>E12-E17</f>
        <v>-0.57000000000000017</v>
      </c>
      <c r="F19" s="29">
        <f t="shared" ref="F19:M19" si="0">F12-F17</f>
        <v>-0.45000000000000007</v>
      </c>
      <c r="G19" s="29">
        <f t="shared" si="0"/>
        <v>-0.39000000000000012</v>
      </c>
      <c r="H19" s="29">
        <f t="shared" si="0"/>
        <v>-0.33000000000000007</v>
      </c>
      <c r="I19" s="29">
        <f t="shared" si="0"/>
        <v>-0.20000000000000007</v>
      </c>
      <c r="K19" s="29">
        <f t="shared" si="0"/>
        <v>-0.12</v>
      </c>
      <c r="L19" s="29">
        <f t="shared" si="0"/>
        <v>-0.15999999999999992</v>
      </c>
      <c r="M19" s="29">
        <f t="shared" si="0"/>
        <v>-8.9999999999999969E-2</v>
      </c>
      <c r="O19" s="29">
        <f>O12-O17</f>
        <v>-5.9999999999999942E-2</v>
      </c>
      <c r="S19" s="183"/>
      <c r="T19" s="183"/>
      <c r="U19" s="183"/>
      <c r="V19" s="183"/>
    </row>
    <row r="20" spans="3:22" x14ac:dyDescent="0.25">
      <c r="S20" s="183"/>
      <c r="T20" s="183"/>
      <c r="U20" s="183"/>
      <c r="V20" s="183"/>
    </row>
    <row r="21" spans="3:22" x14ac:dyDescent="0.25">
      <c r="D21" s="156" t="s">
        <v>219</v>
      </c>
      <c r="E21" s="157"/>
      <c r="F21" s="157"/>
      <c r="G21" s="157"/>
      <c r="H21" s="157"/>
      <c r="I21" s="157"/>
      <c r="J21" s="156"/>
      <c r="K21" s="158"/>
      <c r="L21" s="158"/>
      <c r="M21" s="158"/>
      <c r="N21" s="156"/>
      <c r="O21" s="158"/>
      <c r="S21" s="183"/>
      <c r="T21" s="183"/>
      <c r="U21" s="183"/>
      <c r="V21" s="183"/>
    </row>
    <row r="22" spans="3:22" x14ac:dyDescent="0.25">
      <c r="S22" s="183"/>
      <c r="T22" s="183"/>
      <c r="U22" s="183"/>
      <c r="V22" s="183"/>
    </row>
    <row r="23" spans="3:22" x14ac:dyDescent="0.25">
      <c r="C23" s="9">
        <v>14</v>
      </c>
      <c r="D23" t="s">
        <v>74</v>
      </c>
      <c r="E23" s="146">
        <v>1.0500000000000003</v>
      </c>
      <c r="F23" s="146">
        <v>0.94500000000000028</v>
      </c>
      <c r="G23" s="146">
        <v>0.85050000000000026</v>
      </c>
      <c r="H23" s="146">
        <v>0.76544999999999996</v>
      </c>
      <c r="I23" s="146">
        <v>0.6889050000000001</v>
      </c>
      <c r="K23" s="146">
        <v>0.55000000000000004</v>
      </c>
      <c r="L23" s="146">
        <v>0.65</v>
      </c>
      <c r="M23" s="146">
        <v>0.4</v>
      </c>
      <c r="N23" s="50"/>
      <c r="O23" s="146">
        <v>0.5</v>
      </c>
      <c r="S23" s="183"/>
      <c r="T23" s="183"/>
      <c r="U23" s="183"/>
      <c r="V23" s="183"/>
    </row>
    <row r="24" spans="3:22" x14ac:dyDescent="0.25">
      <c r="C24" s="9">
        <v>15</v>
      </c>
      <c r="D24" t="s">
        <v>113</v>
      </c>
      <c r="E24" s="29">
        <f>E23+E19</f>
        <v>0.48000000000000009</v>
      </c>
      <c r="F24" s="29">
        <f>F23+F19</f>
        <v>0.49500000000000022</v>
      </c>
      <c r="G24" s="29">
        <f>G23+G19</f>
        <v>0.46050000000000013</v>
      </c>
      <c r="H24" s="29">
        <f>H23+H19</f>
        <v>0.43544999999999989</v>
      </c>
      <c r="I24" s="29">
        <f>I23+I19</f>
        <v>0.48890500000000003</v>
      </c>
      <c r="K24" s="146">
        <v>0.2</v>
      </c>
      <c r="L24" s="146">
        <v>0.25</v>
      </c>
      <c r="M24" s="146">
        <v>0.15</v>
      </c>
      <c r="N24" s="50"/>
      <c r="O24" s="146">
        <v>0.4</v>
      </c>
      <c r="S24" s="183"/>
      <c r="T24" s="183"/>
      <c r="U24" s="183"/>
      <c r="V24" s="183"/>
    </row>
    <row r="25" spans="3:22" x14ac:dyDescent="0.25">
      <c r="C25" s="9">
        <v>16</v>
      </c>
      <c r="D25" t="s">
        <v>114</v>
      </c>
      <c r="E25" s="150">
        <v>1.6</v>
      </c>
      <c r="F25" s="150">
        <v>1.6</v>
      </c>
      <c r="G25" s="150">
        <v>1.5</v>
      </c>
      <c r="H25" s="150">
        <v>1.4</v>
      </c>
      <c r="I25" s="150">
        <v>1.4</v>
      </c>
      <c r="J25" s="2"/>
      <c r="K25" s="150">
        <v>1.1000000000000001</v>
      </c>
      <c r="L25" s="150">
        <v>1.2</v>
      </c>
      <c r="M25" s="150">
        <v>0.9</v>
      </c>
      <c r="N25" s="150"/>
      <c r="O25" s="150">
        <v>1.2</v>
      </c>
      <c r="P25" s="2"/>
      <c r="Q25" s="2"/>
      <c r="R25" s="2"/>
      <c r="S25" s="183"/>
      <c r="T25" s="183"/>
      <c r="U25" s="183"/>
      <c r="V25" s="183"/>
    </row>
    <row r="26" spans="3:22" x14ac:dyDescent="0.25">
      <c r="C26" s="9">
        <v>17</v>
      </c>
      <c r="D26" t="s">
        <v>115</v>
      </c>
      <c r="E26" s="2">
        <f>E25/E12*12</f>
        <v>29.53846153846154</v>
      </c>
      <c r="F26" s="2">
        <f>F25/F12*12</f>
        <v>29.53846153846154</v>
      </c>
      <c r="G26" s="2">
        <f>G25/G12*12</f>
        <v>25.714285714285715</v>
      </c>
      <c r="H26" s="2">
        <f t="shared" ref="H26:M26" si="1">H25/H12*12</f>
        <v>23.013698630136986</v>
      </c>
      <c r="I26" s="2">
        <f t="shared" si="1"/>
        <v>22.4</v>
      </c>
      <c r="J26" s="2"/>
      <c r="K26" s="150">
        <f t="shared" si="1"/>
        <v>16.5</v>
      </c>
      <c r="L26" s="150">
        <f t="shared" si="1"/>
        <v>17.560975609756095</v>
      </c>
      <c r="M26" s="150">
        <f t="shared" si="1"/>
        <v>13.846153846153845</v>
      </c>
      <c r="N26" s="150"/>
      <c r="O26" s="150">
        <f>O25/O12*12</f>
        <v>18.46153846153846</v>
      </c>
      <c r="P26" s="2"/>
      <c r="Q26" s="2"/>
      <c r="R26" s="2"/>
      <c r="S26" s="183"/>
      <c r="T26" s="183"/>
      <c r="U26" s="183"/>
      <c r="V26" s="183"/>
    </row>
    <row r="27" spans="3:22" x14ac:dyDescent="0.25">
      <c r="C27" s="212">
        <v>18</v>
      </c>
      <c r="D27" s="200" t="s">
        <v>116</v>
      </c>
      <c r="E27" s="210">
        <v>1.25</v>
      </c>
      <c r="F27" s="210">
        <v>1.2250000000000001</v>
      </c>
      <c r="G27" s="210">
        <v>1.2025000000000001</v>
      </c>
      <c r="H27" s="210">
        <v>1.18225</v>
      </c>
      <c r="I27" s="210">
        <v>1.1640250000000001</v>
      </c>
      <c r="J27" s="200"/>
      <c r="K27" s="210">
        <v>1.04</v>
      </c>
      <c r="L27" s="210">
        <v>1.1000000000000001</v>
      </c>
      <c r="M27" s="210">
        <v>1.1499999999999999</v>
      </c>
      <c r="N27" s="211"/>
      <c r="O27" s="210">
        <v>1.2</v>
      </c>
      <c r="S27" s="183"/>
      <c r="T27" s="183"/>
      <c r="U27" s="183"/>
      <c r="V27" s="183"/>
    </row>
    <row r="28" spans="3:22" x14ac:dyDescent="0.25">
      <c r="C28" s="9"/>
    </row>
    <row r="29" spans="3:22" x14ac:dyDescent="0.25">
      <c r="C29" s="9"/>
      <c r="D29" s="51"/>
    </row>
    <row r="30" spans="3:22" x14ac:dyDescent="0.25">
      <c r="C30" s="9"/>
    </row>
    <row r="31" spans="3:22" x14ac:dyDescent="0.25">
      <c r="C31" s="9"/>
    </row>
    <row r="32" spans="3:22" x14ac:dyDescent="0.25">
      <c r="C32" s="9"/>
    </row>
    <row r="33" spans="3:3" x14ac:dyDescent="0.25">
      <c r="C33" s="9"/>
    </row>
    <row r="34" spans="3:3" x14ac:dyDescent="0.25">
      <c r="C34" s="9"/>
    </row>
  </sheetData>
  <mergeCells count="2">
    <mergeCell ref="K5:M5"/>
    <mergeCell ref="S5:V27"/>
  </mergeCells>
  <pageMargins left="0.7" right="0.7" top="0.75" bottom="0.75" header="0.3" footer="0.3"/>
  <pageSetup scale="6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README</vt:lpstr>
      <vt:lpstr>Weekly Sheet - simplified</vt:lpstr>
      <vt:lpstr>Weekly Sheet - advanced</vt:lpstr>
      <vt:lpstr>Marketing Funnel</vt:lpstr>
      <vt:lpstr>Marketing Channels</vt:lpstr>
      <vt:lpstr>Pipeline Progression</vt:lpstr>
      <vt:lpstr>Seller Ramp</vt:lpstr>
      <vt:lpstr>Sales Model</vt:lpstr>
      <vt:lpstr>Glideslope Planning</vt:lpstr>
      <vt:lpstr>QBR Metrics</vt:lpstr>
      <vt:lpstr>'Glideslope Planning'!Print_Area</vt:lpstr>
      <vt:lpstr>'Marketing Channels'!Print_Area</vt:lpstr>
      <vt:lpstr>'Marketing Funnel'!Print_Area</vt:lpstr>
      <vt:lpstr>'Pipeline Progression'!Print_Area</vt:lpstr>
      <vt:lpstr>'QBR Metrics'!Print_Area</vt:lpstr>
      <vt:lpstr>README!Print_Area</vt:lpstr>
      <vt:lpstr>'Sales Model'!Print_Area</vt:lpstr>
      <vt:lpstr>'Seller Ramp'!Print_Area</vt:lpstr>
      <vt:lpstr>'Weekly Sheet - advanced'!Print_Area</vt:lpstr>
      <vt:lpstr>'Weekly Sheet - simplified'!Print_Area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K;Michael L</dc:creator>
  <cp:lastModifiedBy>Michael Lavner</cp:lastModifiedBy>
  <dcterms:created xsi:type="dcterms:W3CDTF">2022-05-01T23:53:22Z</dcterms:created>
  <dcterms:modified xsi:type="dcterms:W3CDTF">2022-08-25T18:09:47Z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{12B684DE-AE3F-42C9-8AE2-A165BC46174D}</vt:lpwstr>
  </property>
</Properties>
</file>